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Pregão 2017\Pregão XXXX 2017 - Vigilância\"/>
    </mc:Choice>
  </mc:AlternateContent>
  <bookViews>
    <workbookView xWindow="240" yWindow="90" windowWidth="21075" windowHeight="9975" tabRatio="998"/>
  </bookViews>
  <sheets>
    <sheet name="Planilha" sheetId="33" r:id="rId1"/>
    <sheet name="Memória Cálculo" sheetId="31" r:id="rId2"/>
  </sheets>
  <definedNames>
    <definedName name="_xlnm.Print_Area" localSheetId="1">'Memória Cálculo'!$A$1:$F$63</definedName>
    <definedName name="_xlnm.Print_Area" localSheetId="0">Planilha!$A$1:$N$66</definedName>
  </definedNames>
  <calcPr calcId="152511"/>
</workbook>
</file>

<file path=xl/calcChain.xml><?xml version="1.0" encoding="utf-8"?>
<calcChain xmlns="http://schemas.openxmlformats.org/spreadsheetml/2006/main">
  <c r="D51" i="33" l="1"/>
  <c r="M47" i="33"/>
  <c r="M46" i="33"/>
  <c r="L47" i="33"/>
  <c r="L46" i="33"/>
  <c r="K47" i="33"/>
  <c r="K46" i="33"/>
  <c r="J47" i="33"/>
  <c r="J46" i="33"/>
  <c r="I47" i="33"/>
  <c r="I46" i="33"/>
  <c r="H47" i="33"/>
  <c r="H46" i="33"/>
  <c r="G47" i="33"/>
  <c r="G46" i="33"/>
  <c r="F48" i="33"/>
  <c r="F47" i="33"/>
  <c r="F46" i="33"/>
  <c r="E48" i="33"/>
  <c r="E47" i="33"/>
  <c r="E46" i="33"/>
  <c r="H48" i="33"/>
  <c r="D46" i="33"/>
  <c r="D47" i="33"/>
  <c r="D35" i="33"/>
  <c r="D36" i="33"/>
  <c r="D40" i="33"/>
  <c r="D27" i="33"/>
  <c r="E11" i="31"/>
  <c r="C11" i="31"/>
  <c r="E10" i="31"/>
  <c r="C10" i="31"/>
  <c r="C57" i="33" l="1"/>
  <c r="L40" i="33"/>
  <c r="M40" i="33" s="1"/>
  <c r="J40" i="33"/>
  <c r="K40" i="33" s="1"/>
  <c r="I40" i="33"/>
  <c r="H40" i="33"/>
  <c r="F40" i="33"/>
  <c r="G40" i="33" s="1"/>
  <c r="E40" i="33"/>
  <c r="F39" i="33"/>
  <c r="G39" i="33" s="1"/>
  <c r="H38" i="33"/>
  <c r="J38" i="33" s="1"/>
  <c r="F37" i="33"/>
  <c r="G37" i="33" s="1"/>
  <c r="E37" i="33"/>
  <c r="E36" i="33"/>
  <c r="F35" i="33"/>
  <c r="H35" i="33" s="1"/>
  <c r="E35" i="33"/>
  <c r="H34" i="33"/>
  <c r="J34" i="33" s="1"/>
  <c r="F34" i="33"/>
  <c r="G34" i="33" s="1"/>
  <c r="E34" i="33"/>
  <c r="H33" i="33"/>
  <c r="I33" i="33" s="1"/>
  <c r="F32" i="33"/>
  <c r="G32" i="33" s="1"/>
  <c r="F31" i="33"/>
  <c r="E31" i="33"/>
  <c r="L18" i="33"/>
  <c r="J18" i="33"/>
  <c r="K18" i="33" s="1"/>
  <c r="H18" i="33"/>
  <c r="F18" i="33"/>
  <c r="G18" i="33" s="1"/>
  <c r="D18" i="33"/>
  <c r="E18" i="33" s="1"/>
  <c r="N16" i="33"/>
  <c r="F9" i="33"/>
  <c r="L19" i="33" s="1"/>
  <c r="M19" i="33" s="1"/>
  <c r="F8" i="33"/>
  <c r="F19" i="33" s="1"/>
  <c r="G19" i="33" s="1"/>
  <c r="F10" i="31"/>
  <c r="D10" i="31"/>
  <c r="F33" i="31"/>
  <c r="E33" i="31"/>
  <c r="D33" i="31"/>
  <c r="C33" i="31"/>
  <c r="H37" i="33" l="1"/>
  <c r="J37" i="33" s="1"/>
  <c r="K37" i="33" s="1"/>
  <c r="J19" i="33"/>
  <c r="K19" i="33" s="1"/>
  <c r="E33" i="33"/>
  <c r="E38" i="33"/>
  <c r="F33" i="33"/>
  <c r="G33" i="33" s="1"/>
  <c r="I34" i="33"/>
  <c r="G35" i="33"/>
  <c r="F38" i="33"/>
  <c r="G38" i="33" s="1"/>
  <c r="I38" i="33" s="1"/>
  <c r="H32" i="33"/>
  <c r="J32" i="33" s="1"/>
  <c r="K32" i="33" s="1"/>
  <c r="L37" i="33"/>
  <c r="M37" i="33" s="1"/>
  <c r="L38" i="33"/>
  <c r="M38" i="33" s="1"/>
  <c r="K38" i="33"/>
  <c r="J33" i="33"/>
  <c r="F24" i="33"/>
  <c r="G24" i="33" s="1"/>
  <c r="J24" i="33"/>
  <c r="K24" i="33" s="1"/>
  <c r="F41" i="33"/>
  <c r="H31" i="33"/>
  <c r="L34" i="33"/>
  <c r="M34" i="33" s="1"/>
  <c r="K34" i="33"/>
  <c r="E39" i="33"/>
  <c r="H19" i="33"/>
  <c r="I19" i="33" s="1"/>
  <c r="D19" i="33"/>
  <c r="I18" i="33"/>
  <c r="M18" i="33"/>
  <c r="G31" i="33"/>
  <c r="E32" i="33"/>
  <c r="J35" i="33"/>
  <c r="I35" i="33"/>
  <c r="H39" i="33"/>
  <c r="D41" i="33"/>
  <c r="I37" i="33" l="1"/>
  <c r="L32" i="33"/>
  <c r="M32" i="33" s="1"/>
  <c r="I32" i="33"/>
  <c r="E41" i="33"/>
  <c r="G41" i="33"/>
  <c r="L35" i="33"/>
  <c r="M35" i="33" s="1"/>
  <c r="K35" i="33"/>
  <c r="E19" i="33"/>
  <c r="E25" i="33" s="1"/>
  <c r="D25" i="33"/>
  <c r="J39" i="33"/>
  <c r="I39" i="33"/>
  <c r="I31" i="33"/>
  <c r="H41" i="33"/>
  <c r="J31" i="33"/>
  <c r="L33" i="33"/>
  <c r="M33" i="33" s="1"/>
  <c r="K33" i="33"/>
  <c r="C27" i="31" l="1"/>
  <c r="C28" i="31" s="1"/>
  <c r="C29" i="31" s="1"/>
  <c r="D11" i="31"/>
  <c r="D16" i="31" s="1"/>
  <c r="E27" i="31"/>
  <c r="E28" i="31" s="1"/>
  <c r="E29" i="31" s="1"/>
  <c r="F11" i="31"/>
  <c r="F16" i="31" s="1"/>
  <c r="J41" i="33"/>
  <c r="L31" i="33"/>
  <c r="K31" i="33"/>
  <c r="I41" i="33"/>
  <c r="K39" i="33"/>
  <c r="L39" i="33"/>
  <c r="M39" i="33" s="1"/>
  <c r="D28" i="33"/>
  <c r="D43" i="33" s="1"/>
  <c r="E27" i="33"/>
  <c r="E28" i="33" s="1"/>
  <c r="E43" i="33" s="1"/>
  <c r="F17" i="31" l="1"/>
  <c r="F23" i="31" s="1"/>
  <c r="F24" i="31" s="1"/>
  <c r="E36" i="31"/>
  <c r="E37" i="31" s="1"/>
  <c r="J22" i="33"/>
  <c r="D17" i="31"/>
  <c r="D23" i="31" s="1"/>
  <c r="D24" i="31" s="1"/>
  <c r="C36" i="31"/>
  <c r="C37" i="31" s="1"/>
  <c r="F22" i="33"/>
  <c r="K41" i="33"/>
  <c r="M31" i="33"/>
  <c r="M41" i="33" s="1"/>
  <c r="L41" i="33"/>
  <c r="D35" i="31" l="1"/>
  <c r="H21" i="33"/>
  <c r="I21" i="33" s="1"/>
  <c r="G22" i="33"/>
  <c r="D18" i="31"/>
  <c r="D19" i="31"/>
  <c r="K22" i="33"/>
  <c r="F23" i="33"/>
  <c r="G23" i="33" s="1"/>
  <c r="J23" i="33"/>
  <c r="K23" i="33" s="1"/>
  <c r="F35" i="31"/>
  <c r="L21" i="33"/>
  <c r="M21" i="33" s="1"/>
  <c r="F18" i="31"/>
  <c r="F19" i="31"/>
  <c r="E49" i="33"/>
  <c r="E51" i="33" s="1"/>
  <c r="D48" i="33"/>
  <c r="D49" i="33" s="1"/>
  <c r="D59" i="33" s="1"/>
  <c r="F20" i="31" l="1"/>
  <c r="L20" i="33" s="1"/>
  <c r="F25" i="33"/>
  <c r="D20" i="31"/>
  <c r="D27" i="31" s="1"/>
  <c r="D28" i="31" s="1"/>
  <c r="D29" i="31" s="1"/>
  <c r="J25" i="33"/>
  <c r="G25" i="33"/>
  <c r="G27" i="33" s="1"/>
  <c r="G28" i="33" s="1"/>
  <c r="G43" i="33" s="1"/>
  <c r="F27" i="33"/>
  <c r="K25" i="33"/>
  <c r="F27" i="31"/>
  <c r="F28" i="31" s="1"/>
  <c r="F29" i="31" s="1"/>
  <c r="D57" i="33"/>
  <c r="E59" i="33"/>
  <c r="D55" i="33"/>
  <c r="D56" i="33"/>
  <c r="D54" i="33"/>
  <c r="F28" i="33" l="1"/>
  <c r="F43" i="33" s="1"/>
  <c r="F34" i="31"/>
  <c r="H20" i="33"/>
  <c r="H24" i="33" s="1"/>
  <c r="I24" i="33" s="1"/>
  <c r="D34" i="31"/>
  <c r="G48" i="33"/>
  <c r="J27" i="33"/>
  <c r="J28" i="33" s="1"/>
  <c r="J43" i="33" s="1"/>
  <c r="D36" i="31"/>
  <c r="D37" i="31" s="1"/>
  <c r="H22" i="33"/>
  <c r="I22" i="33" s="1"/>
  <c r="F36" i="31"/>
  <c r="L22" i="33"/>
  <c r="M22" i="33" s="1"/>
  <c r="I20" i="33"/>
  <c r="M20" i="33"/>
  <c r="L24" i="33"/>
  <c r="M24" i="33" s="1"/>
  <c r="K27" i="33"/>
  <c r="K28" i="33" s="1"/>
  <c r="K43" i="33" s="1"/>
  <c r="E55" i="33"/>
  <c r="E56" i="33"/>
  <c r="E54" i="33"/>
  <c r="E57" i="33"/>
  <c r="F37" i="31" l="1"/>
  <c r="L23" i="33" s="1"/>
  <c r="K48" i="33"/>
  <c r="K49" i="33" s="1"/>
  <c r="K51" i="33" s="1"/>
  <c r="K59" i="33" s="1"/>
  <c r="G49" i="33"/>
  <c r="G51" i="33" s="1"/>
  <c r="H23" i="33"/>
  <c r="F49" i="33"/>
  <c r="F51" i="33" s="1"/>
  <c r="F59" i="33" s="1"/>
  <c r="G59" i="33" l="1"/>
  <c r="F56" i="33"/>
  <c r="F55" i="33"/>
  <c r="F54" i="33"/>
  <c r="F57" i="33"/>
  <c r="I23" i="33"/>
  <c r="I25" i="33" s="1"/>
  <c r="H25" i="33"/>
  <c r="M23" i="33"/>
  <c r="M25" i="33" s="1"/>
  <c r="M27" i="33" s="1"/>
  <c r="M28" i="33" s="1"/>
  <c r="M43" i="33" s="1"/>
  <c r="L25" i="33"/>
  <c r="K55" i="33"/>
  <c r="K56" i="33"/>
  <c r="K57" i="33"/>
  <c r="K54" i="33"/>
  <c r="J48" i="33"/>
  <c r="J49" i="33" s="1"/>
  <c r="J51" i="33" s="1"/>
  <c r="J59" i="33" s="1"/>
  <c r="J55" i="33" l="1"/>
  <c r="J56" i="33"/>
  <c r="J54" i="33"/>
  <c r="J57" i="33"/>
  <c r="M48" i="33"/>
  <c r="M49" i="33" s="1"/>
  <c r="M51" i="33" s="1"/>
  <c r="M59" i="33" s="1"/>
  <c r="H27" i="33"/>
  <c r="H28" i="33" s="1"/>
  <c r="H43" i="33" s="1"/>
  <c r="G55" i="33"/>
  <c r="G56" i="33"/>
  <c r="G54" i="33"/>
  <c r="G57" i="33"/>
  <c r="I27" i="33"/>
  <c r="I28" i="33"/>
  <c r="I43" i="33" s="1"/>
  <c r="L27" i="33"/>
  <c r="L28" i="33" s="1"/>
  <c r="L43" i="33" s="1"/>
  <c r="M57" i="33" l="1"/>
  <c r="M54" i="33"/>
  <c r="M55" i="33"/>
  <c r="M56" i="33"/>
  <c r="I48" i="33"/>
  <c r="H49" i="33" l="1"/>
  <c r="H51" i="33" s="1"/>
  <c r="H59" i="33" s="1"/>
  <c r="I49" i="33"/>
  <c r="I51" i="33" s="1"/>
  <c r="L48" i="33"/>
  <c r="L49" i="33" s="1"/>
  <c r="L51" i="33" s="1"/>
  <c r="L59" i="33" s="1"/>
  <c r="I59" i="33" l="1"/>
  <c r="H55" i="33"/>
  <c r="H57" i="33"/>
  <c r="H54" i="33"/>
  <c r="H56" i="33"/>
  <c r="L56" i="33"/>
  <c r="L54" i="33"/>
  <c r="L57" i="33"/>
  <c r="L55" i="33"/>
  <c r="I54" i="33" l="1"/>
  <c r="I57" i="33"/>
  <c r="I56" i="33"/>
  <c r="I55" i="33"/>
  <c r="N61" i="33"/>
</calcChain>
</file>

<file path=xl/sharedStrings.xml><?xml version="1.0" encoding="utf-8"?>
<sst xmlns="http://schemas.openxmlformats.org/spreadsheetml/2006/main" count="196" uniqueCount="167">
  <si>
    <t xml:space="preserve">                     Vigilante</t>
  </si>
  <si>
    <t xml:space="preserve">        Vigilante Diurno todos  </t>
  </si>
  <si>
    <t xml:space="preserve">      Vigilante noturno todos  </t>
  </si>
  <si>
    <t xml:space="preserve">      Supervisor Diurno</t>
  </si>
  <si>
    <t xml:space="preserve">     Supervisor Noturno</t>
  </si>
  <si>
    <t xml:space="preserve">            Administrativo 8:48</t>
  </si>
  <si>
    <t xml:space="preserve">      os dias Escala 12 x 36</t>
  </si>
  <si>
    <t xml:space="preserve">    todos os dias Escala</t>
  </si>
  <si>
    <t xml:space="preserve">        horas diurno seg/sexta</t>
  </si>
  <si>
    <t xml:space="preserve">               12 x 36</t>
  </si>
  <si>
    <t xml:space="preserve">                12 x 36</t>
  </si>
  <si>
    <t xml:space="preserve">         44 horas / semana</t>
  </si>
  <si>
    <t xml:space="preserve">     07:00 às 19:00 horas</t>
  </si>
  <si>
    <t xml:space="preserve">     19:00 às 07:00 horas</t>
  </si>
  <si>
    <t xml:space="preserve">      07:00 às 19:00 horas</t>
  </si>
  <si>
    <t xml:space="preserve">        19:00 às 07:00 horas</t>
  </si>
  <si>
    <t>Parâmetro</t>
  </si>
  <si>
    <t>VLR UNIT</t>
  </si>
  <si>
    <t>VLR GLOBAL</t>
  </si>
  <si>
    <t>HOMENS</t>
  </si>
  <si>
    <t>A - REMUNERAÇÃO</t>
  </si>
  <si>
    <t>A</t>
  </si>
  <si>
    <t>B</t>
  </si>
  <si>
    <t>TOTAL</t>
  </si>
  <si>
    <t>TOTAL  A</t>
  </si>
  <si>
    <t>B - ENCARGOS SOCIAIS</t>
  </si>
  <si>
    <t xml:space="preserve">TOTAL  A  +  B  </t>
  </si>
  <si>
    <t>Vale Alimentação</t>
  </si>
  <si>
    <t>TOTAL  C</t>
  </si>
  <si>
    <t>TOTAL  A + B + C</t>
  </si>
  <si>
    <t>D - DEMAIS COMPONENTES</t>
  </si>
  <si>
    <t>TOTAL  D</t>
  </si>
  <si>
    <t>TOTAL  A + B + C + D</t>
  </si>
  <si>
    <t>E - CARGA TRIBUTÁRIA</t>
  </si>
  <si>
    <t>TOTAL E</t>
  </si>
  <si>
    <t>TOTAL GERAL MENSAL PARA VIGILÂNCIA</t>
  </si>
  <si>
    <t>Salário VIGILANTES</t>
  </si>
  <si>
    <t>Salário SUPERVISORES</t>
  </si>
  <si>
    <t>PLANILHA DE CUSTOS E FORMAÇÃO DE PREÇOS</t>
  </si>
  <si>
    <t>Valores em reais (R$)</t>
  </si>
  <si>
    <t>Memória de Cálculo</t>
  </si>
  <si>
    <t>I) Dados:</t>
  </si>
  <si>
    <t>Carga horária mensal (CCT)</t>
  </si>
  <si>
    <t>12x36 (Diurno)</t>
  </si>
  <si>
    <t>12x36 (Noturno)</t>
  </si>
  <si>
    <t>C</t>
  </si>
  <si>
    <t>D</t>
  </si>
  <si>
    <t>E</t>
  </si>
  <si>
    <t>F</t>
  </si>
  <si>
    <t>Salário (CCT)</t>
  </si>
  <si>
    <t>Adicional de risco de vida (CCT)</t>
  </si>
  <si>
    <t>Dias de trabalho no mês (12x36)</t>
  </si>
  <si>
    <t>G</t>
  </si>
  <si>
    <t>H</t>
  </si>
  <si>
    <t>Vigilante</t>
  </si>
  <si>
    <t>Supervisor</t>
  </si>
  <si>
    <t>I</t>
  </si>
  <si>
    <t>J</t>
  </si>
  <si>
    <t>K</t>
  </si>
  <si>
    <r>
      <t xml:space="preserve">Valor da hora trabalhada: </t>
    </r>
    <r>
      <rPr>
        <b/>
        <i/>
        <sz val="10"/>
        <rFont val="Arial"/>
        <family val="2"/>
      </rPr>
      <t>( B + C ) / A</t>
    </r>
  </si>
  <si>
    <r>
      <t xml:space="preserve">Adicional noturno por hora: </t>
    </r>
    <r>
      <rPr>
        <b/>
        <i/>
        <sz val="10"/>
        <rFont val="Arial"/>
        <family val="2"/>
      </rPr>
      <t>F x 20%</t>
    </r>
  </si>
  <si>
    <t>1 de janeiro</t>
  </si>
  <si>
    <t>Confraternização Universal</t>
  </si>
  <si>
    <t>Lei nº 10.607, de 19/12/2002</t>
  </si>
  <si>
    <t>Paixão de Cristo</t>
  </si>
  <si>
    <t>Lei nº 9.093, de 12/9/1995</t>
  </si>
  <si>
    <t>21 de abril</t>
  </si>
  <si>
    <t>Tiradentes</t>
  </si>
  <si>
    <t>1 de maio</t>
  </si>
  <si>
    <t>Dia Mundial do Trabalho</t>
  </si>
  <si>
    <t>7 de setembro</t>
  </si>
  <si>
    <t>Independência do Brasil</t>
  </si>
  <si>
    <t>12 de outubro</t>
  </si>
  <si>
    <t>Nossa Senhora Aparecida</t>
  </si>
  <si>
    <t>Lei nº 6.802, de 30/6/1980</t>
  </si>
  <si>
    <t>2 de novembro</t>
  </si>
  <si>
    <t>Finados</t>
  </si>
  <si>
    <t xml:space="preserve">Lei nº 10.607, de 19/12/2002 </t>
  </si>
  <si>
    <t>15 de novembro</t>
  </si>
  <si>
    <t>Proclamação da República</t>
  </si>
  <si>
    <t>25 de dezembro</t>
  </si>
  <si>
    <t>Natal</t>
  </si>
  <si>
    <t>25 de março</t>
  </si>
  <si>
    <t>Data magna estadual</t>
  </si>
  <si>
    <t>Móvel</t>
  </si>
  <si>
    <t>Lei nº 8.796, de 9/12/2003</t>
  </si>
  <si>
    <t>Corpus Christi</t>
  </si>
  <si>
    <t>Idem</t>
  </si>
  <si>
    <t>19 de marco</t>
  </si>
  <si>
    <t>São José</t>
  </si>
  <si>
    <t>15 de agosto</t>
  </si>
  <si>
    <t>Nossa Senhora de Assunção</t>
  </si>
  <si>
    <t>Feriados observados pelo Banco - Conforme MSP 4.4.1</t>
  </si>
  <si>
    <t>I- Feriados de âmbito nacional</t>
  </si>
  <si>
    <t>Data</t>
  </si>
  <si>
    <t>Evento</t>
  </si>
  <si>
    <t>Base Legal</t>
  </si>
  <si>
    <t>III - Feriados de âmbito local</t>
  </si>
  <si>
    <t>Constituição Estadual, art. 18, par. único</t>
  </si>
  <si>
    <t>Ceará</t>
  </si>
  <si>
    <t>Fortaleza</t>
  </si>
  <si>
    <t>Risco de Vida (30%)</t>
  </si>
  <si>
    <t>1. Salário Base</t>
  </si>
  <si>
    <t>2. Adicional de Risco de Vida (30%)</t>
  </si>
  <si>
    <t>3. Adicional Noturno</t>
  </si>
  <si>
    <t>1. Uniformes</t>
  </si>
  <si>
    <t>2. Equipamentos Manutenção/Depreciação</t>
  </si>
  <si>
    <t>3. Treinamento e/ou reciclagem</t>
  </si>
  <si>
    <t>4. Seguro de Vida em Grupo</t>
  </si>
  <si>
    <t>5. Vale Alimentação</t>
  </si>
  <si>
    <t>9. Recrutamento e Seleção</t>
  </si>
  <si>
    <t>8. Exames Médicos NR 7 E 9</t>
  </si>
  <si>
    <t>1. Reserva Técnica</t>
  </si>
  <si>
    <t>2. Despesas Administrativas Dir/Ind</t>
  </si>
  <si>
    <t>3. Lucro</t>
  </si>
  <si>
    <t>1. ISS</t>
  </si>
  <si>
    <t>2. COFINS</t>
  </si>
  <si>
    <t>3. PIS</t>
  </si>
  <si>
    <t>C - INSUMOS</t>
  </si>
  <si>
    <t>4. Hora extra noturna com adicional de 50%</t>
  </si>
  <si>
    <t>TOTAL GERAL MENSAL</t>
  </si>
  <si>
    <t>L</t>
  </si>
  <si>
    <t>M</t>
  </si>
  <si>
    <r>
      <t xml:space="preserve">Prorrogação da jornada (§6º): </t>
    </r>
    <r>
      <rPr>
        <b/>
        <i/>
        <sz val="10"/>
        <rFont val="Arial"/>
        <family val="2"/>
      </rPr>
      <t>G x E</t>
    </r>
  </si>
  <si>
    <r>
      <t xml:space="preserve">Adicional noturno 22h às 5h (§5º): </t>
    </r>
    <r>
      <rPr>
        <b/>
        <i/>
        <sz val="10"/>
        <rFont val="Arial"/>
        <family val="2"/>
      </rPr>
      <t xml:space="preserve">( G x D ) x E </t>
    </r>
  </si>
  <si>
    <r>
      <t>II) Adicional noturno:</t>
    </r>
    <r>
      <rPr>
        <i/>
        <sz val="8"/>
        <rFont val="Arial"/>
        <family val="2"/>
      </rPr>
      <t xml:space="preserve"> (Cláusula Vigésima Quinta, §§5º e 6º da CCT 2014/2015)</t>
    </r>
  </si>
  <si>
    <r>
      <t xml:space="preserve">Total de adicional noturno: </t>
    </r>
    <r>
      <rPr>
        <b/>
        <i/>
        <sz val="10"/>
        <rFont val="Arial"/>
        <family val="2"/>
      </rPr>
      <t>H + I</t>
    </r>
  </si>
  <si>
    <r>
      <t>III) Hora noturna reduzida - adicional de 50%:</t>
    </r>
    <r>
      <rPr>
        <i/>
        <sz val="8"/>
        <rFont val="Arial"/>
        <family val="2"/>
      </rPr>
      <t xml:space="preserve"> (Cláusula Vigésima Quinta, §4º da CCT 2014/2015)</t>
    </r>
  </si>
  <si>
    <t>N</t>
  </si>
  <si>
    <t>O</t>
  </si>
  <si>
    <t>P</t>
  </si>
  <si>
    <t>Q</t>
  </si>
  <si>
    <t>R</t>
  </si>
  <si>
    <r>
      <t>Hora noturna extra com adicional de 50%:</t>
    </r>
    <r>
      <rPr>
        <i/>
        <sz val="10"/>
        <rFont val="Arial"/>
        <family val="2"/>
      </rPr>
      <t xml:space="preserve"> </t>
    </r>
    <r>
      <rPr>
        <b/>
        <i/>
        <sz val="10"/>
        <rFont val="Arial"/>
        <family val="2"/>
      </rPr>
      <t>( F + G ) x 1,5</t>
    </r>
  </si>
  <si>
    <t>Quantidade de domingos/ano:</t>
  </si>
  <si>
    <r>
      <t>Quantidade horas noturnas</t>
    </r>
    <r>
      <rPr>
        <sz val="8"/>
        <rFont val="Arial"/>
        <family val="2"/>
      </rPr>
      <t xml:space="preserve"> (22h às 5h)</t>
    </r>
  </si>
  <si>
    <t>S</t>
  </si>
  <si>
    <t>T</t>
  </si>
  <si>
    <r>
      <t>Total horas noturnas extra com adicional de 50%:</t>
    </r>
    <r>
      <rPr>
        <b/>
        <i/>
        <sz val="10"/>
        <rFont val="Arial"/>
        <family val="2"/>
      </rPr>
      <t xml:space="preserve"> K x E</t>
    </r>
  </si>
  <si>
    <t>U</t>
  </si>
  <si>
    <r>
      <t>Valor de um dia feriado:</t>
    </r>
    <r>
      <rPr>
        <b/>
        <i/>
        <sz val="10"/>
        <rFont val="Arial"/>
        <family val="2"/>
      </rPr>
      <t xml:space="preserve"> ( B + C + J + L ) / E</t>
    </r>
  </si>
  <si>
    <r>
      <t>IV) Súmula 444 do TST:</t>
    </r>
    <r>
      <rPr>
        <i/>
        <sz val="8"/>
        <rFont val="Arial"/>
        <family val="2"/>
      </rPr>
      <t xml:space="preserve"> (Cláusula Vigésima Quinta, §3º da CCT 2014/2015)</t>
    </r>
  </si>
  <si>
    <t>V) Reflexos no Descanso Semanal Remunerado (DSR)</t>
  </si>
  <si>
    <t>¹ No caso de postos diurnos 12x36, apenas um dos dois vigilantes do posto trabalhará durante o feriado: das 7h às 19h (total 12h), razão para o redutor 0,5.</t>
  </si>
  <si>
    <r>
      <t>Total Súmula 444 do TST:</t>
    </r>
    <r>
      <rPr>
        <b/>
        <i/>
        <sz val="10"/>
        <rFont val="Arial"/>
        <family val="2"/>
      </rPr>
      <t xml:space="preserve"> N x 0,5</t>
    </r>
    <r>
      <rPr>
        <i/>
        <sz val="10"/>
        <rFont val="Arial"/>
        <family val="2"/>
      </rPr>
      <t xml:space="preserve"> ¹ ²</t>
    </r>
  </si>
  <si>
    <t xml:space="preserve">² No caso de postos noturnos 12x36, cada um dos dois vigilantes do posto trabalhará durante o feriado da seguinte maneira: 1) 0h às 7h; 2) 19h às 24h (total 12h), razão para o redutor 0,5. </t>
  </si>
  <si>
    <t>V</t>
  </si>
  <si>
    <t>6.Reflexos no Descanso Semanal Remunerado (DSR)</t>
  </si>
  <si>
    <t>5. Súmula 444 do TST (jornada em feriados)</t>
  </si>
  <si>
    <r>
      <t xml:space="preserve">Quantidade de dias trabalhados: </t>
    </r>
    <r>
      <rPr>
        <b/>
        <i/>
        <sz val="10"/>
        <rFont val="Arial"/>
        <family val="2"/>
      </rPr>
      <t>360 - P - V</t>
    </r>
  </si>
  <si>
    <r>
      <t xml:space="preserve">Reflexo do adicional noturno no DSR: </t>
    </r>
    <r>
      <rPr>
        <b/>
        <i/>
        <sz val="10"/>
        <rFont val="Arial"/>
        <family val="2"/>
      </rPr>
      <t>J x ((P + V) / Q)</t>
    </r>
  </si>
  <si>
    <r>
      <t xml:space="preserve">Reflexo das horas noturnas extras no DSR: </t>
    </r>
    <r>
      <rPr>
        <b/>
        <i/>
        <sz val="10"/>
        <rFont val="Arial"/>
        <family val="2"/>
      </rPr>
      <t>L x ((P + V) / Q)</t>
    </r>
  </si>
  <si>
    <r>
      <t xml:space="preserve">Total do reflexo no DSR: </t>
    </r>
    <r>
      <rPr>
        <b/>
        <i/>
        <sz val="10"/>
        <rFont val="Arial"/>
        <family val="2"/>
      </rPr>
      <t>R + S + T</t>
    </r>
  </si>
  <si>
    <r>
      <t xml:space="preserve">Reflexo da Súmula 444 do TST no DSR: </t>
    </r>
    <r>
      <rPr>
        <b/>
        <i/>
        <sz val="10"/>
        <rFont val="Arial"/>
        <family val="2"/>
      </rPr>
      <t>O x ((P + V) / Q)</t>
    </r>
  </si>
  <si>
    <r>
      <t>Custo médio mensal por posto:</t>
    </r>
    <r>
      <rPr>
        <b/>
        <i/>
        <sz val="10"/>
        <rFont val="Arial"/>
        <family val="2"/>
      </rPr>
      <t xml:space="preserve"> ( M x V ) / 12 </t>
    </r>
    <r>
      <rPr>
        <i/>
        <sz val="10"/>
        <rFont val="Arial"/>
        <family val="2"/>
      </rPr>
      <t>¹ ²</t>
    </r>
  </si>
  <si>
    <t>7. Auxilio Funeral (Clausula 14ª da CCT)</t>
  </si>
  <si>
    <t>Vale Transporte</t>
  </si>
  <si>
    <t>Plano de Saúde (50%)</t>
  </si>
  <si>
    <t>¹ Estimativa considerando a expectativa de adesão de todos os empregados da Contratada ao benefício do plano de saúde (Cláusula 13ª da CCT).</t>
  </si>
  <si>
    <t>10. Plano de Saúde (Cláusula 13ª da CCT) ¹</t>
  </si>
  <si>
    <t>II - Feriados de âmbito nacional estadual</t>
  </si>
  <si>
    <t>6. Auxilio Transporte*</t>
  </si>
  <si>
    <t>24 de março</t>
  </si>
  <si>
    <t>7.Intrajornada</t>
  </si>
  <si>
    <t>Convenção Coletiva de Trabalho 2017/2017 (Registro no MTE: CE000510/2017)</t>
  </si>
  <si>
    <t>Total (2017):</t>
  </si>
  <si>
    <r>
      <t xml:space="preserve">A proposta foi elaborada com base em: </t>
    </r>
    <r>
      <rPr>
        <b/>
        <sz val="8"/>
        <rFont val="Arial"/>
        <family val="2"/>
      </rPr>
      <t>CCT 2017/2017 (Registro no MTE: CE000510/2017)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</si>
</sst>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_(* #,##0.00_);_(* \(#,##0.00\);_(* &quot;-&quot;??_);_(@_)"/>
    <numFmt numFmtId="165" formatCode="_(&quot;R$ &quot;* #,##0.00_);_(&quot;R$ &quot;* \(#,##0.00\);_(&quot;R$ &quot;* &quot;-&quot;??_);_(@_)"/>
    <numFmt numFmtId="166" formatCode="#,##0.00_ ;[Red]\-#,##0.00\ "/>
    <numFmt numFmtId="167" formatCode="0.0%"/>
  </numFmts>
  <fonts count="17" x14ac:knownFonts="1">
    <font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i/>
      <sz val="10"/>
      <name val="Arial"/>
      <family val="2"/>
    </font>
    <font>
      <i/>
      <sz val="8"/>
      <name val="Arial"/>
      <family val="2"/>
    </font>
    <font>
      <b/>
      <i/>
      <sz val="10"/>
      <name val="Arial"/>
      <family val="2"/>
    </font>
    <font>
      <b/>
      <u/>
      <sz val="10"/>
      <name val="Arial"/>
      <family val="2"/>
    </font>
    <font>
      <sz val="7.5"/>
      <name val="Arial"/>
      <family val="2"/>
    </font>
    <font>
      <sz val="8"/>
      <name val="Arial Narrow"/>
      <family val="2"/>
    </font>
    <font>
      <b/>
      <sz val="10"/>
      <color rgb="FF00206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dashDotDot">
        <color auto="1"/>
      </left>
      <right style="dashDotDot">
        <color auto="1"/>
      </right>
      <top/>
      <bottom style="dashDotDot">
        <color auto="1"/>
      </bottom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57">
    <xf numFmtId="0" fontId="0" fillId="0" borderId="0" xfId="0"/>
    <xf numFmtId="0" fontId="2" fillId="0" borderId="0" xfId="0" applyFont="1"/>
    <xf numFmtId="0" fontId="3" fillId="0" borderId="0" xfId="0" applyFont="1"/>
    <xf numFmtId="43" fontId="4" fillId="0" borderId="0" xfId="0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164" fontId="2" fillId="0" borderId="0" xfId="1" applyFont="1" applyAlignment="1">
      <alignment vertical="center"/>
    </xf>
    <xf numFmtId="165" fontId="2" fillId="0" borderId="4" xfId="2" applyFont="1" applyBorder="1"/>
    <xf numFmtId="43" fontId="2" fillId="0" borderId="0" xfId="0" applyNumberFormat="1" applyFont="1"/>
    <xf numFmtId="165" fontId="2" fillId="0" borderId="5" xfId="2" applyFont="1" applyBorder="1"/>
    <xf numFmtId="0" fontId="3" fillId="0" borderId="6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3" fillId="0" borderId="0" xfId="0" applyFont="1" applyBorder="1"/>
    <xf numFmtId="0" fontId="3" fillId="0" borderId="10" xfId="0" applyFont="1" applyBorder="1"/>
    <xf numFmtId="0" fontId="3" fillId="0" borderId="10" xfId="0" applyFont="1" applyBorder="1" applyAlignment="1">
      <alignment horizontal="left"/>
    </xf>
    <xf numFmtId="0" fontId="3" fillId="0" borderId="11" xfId="0" applyFont="1" applyBorder="1"/>
    <xf numFmtId="0" fontId="3" fillId="0" borderId="12" xfId="0" applyFont="1" applyBorder="1"/>
    <xf numFmtId="0" fontId="3" fillId="0" borderId="13" xfId="0" applyFont="1" applyBorder="1"/>
    <xf numFmtId="0" fontId="2" fillId="0" borderId="0" xfId="0" applyFont="1" applyAlignment="1"/>
    <xf numFmtId="0" fontId="3" fillId="0" borderId="14" xfId="0" applyFont="1" applyBorder="1" applyAlignment="1"/>
    <xf numFmtId="0" fontId="2" fillId="0" borderId="15" xfId="0" applyFont="1" applyBorder="1" applyAlignment="1"/>
    <xf numFmtId="0" fontId="3" fillId="0" borderId="9" xfId="0" applyFont="1" applyBorder="1"/>
    <xf numFmtId="0" fontId="3" fillId="0" borderId="16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2" fillId="0" borderId="9" xfId="0" applyFont="1" applyBorder="1"/>
    <xf numFmtId="0" fontId="2" fillId="0" borderId="0" xfId="0" applyFont="1" applyBorder="1"/>
    <xf numFmtId="0" fontId="2" fillId="0" borderId="18" xfId="0" applyFont="1" applyBorder="1"/>
    <xf numFmtId="0" fontId="3" fillId="3" borderId="18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4" xfId="0" applyFont="1" applyBorder="1"/>
    <xf numFmtId="0" fontId="3" fillId="0" borderId="17" xfId="0" applyFont="1" applyBorder="1"/>
    <xf numFmtId="0" fontId="3" fillId="0" borderId="16" xfId="0" applyFont="1" applyBorder="1"/>
    <xf numFmtId="0" fontId="2" fillId="0" borderId="14" xfId="0" applyFont="1" applyBorder="1"/>
    <xf numFmtId="0" fontId="2" fillId="0" borderId="17" xfId="0" applyFont="1" applyBorder="1"/>
    <xf numFmtId="164" fontId="2" fillId="0" borderId="16" xfId="1" applyFont="1" applyBorder="1"/>
    <xf numFmtId="43" fontId="2" fillId="0" borderId="16" xfId="0" applyNumberFormat="1" applyFont="1" applyBorder="1"/>
    <xf numFmtId="0" fontId="2" fillId="0" borderId="16" xfId="0" applyFont="1" applyBorder="1"/>
    <xf numFmtId="164" fontId="3" fillId="0" borderId="16" xfId="1" applyFont="1" applyBorder="1"/>
    <xf numFmtId="43" fontId="3" fillId="0" borderId="16" xfId="0" applyNumberFormat="1" applyFont="1" applyBorder="1"/>
    <xf numFmtId="165" fontId="3" fillId="0" borderId="16" xfId="0" applyNumberFormat="1" applyFont="1" applyBorder="1"/>
    <xf numFmtId="0" fontId="2" fillId="0" borderId="15" xfId="0" applyFont="1" applyBorder="1"/>
    <xf numFmtId="0" fontId="3" fillId="0" borderId="15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43" fontId="3" fillId="0" borderId="0" xfId="0" applyNumberFormat="1" applyFont="1"/>
    <xf numFmtId="164" fontId="3" fillId="0" borderId="16" xfId="0" applyNumberFormat="1" applyFont="1" applyBorder="1"/>
    <xf numFmtId="0" fontId="2" fillId="0" borderId="11" xfId="0" applyFont="1" applyBorder="1"/>
    <xf numFmtId="0" fontId="2" fillId="0" borderId="13" xfId="0" applyFont="1" applyBorder="1"/>
    <xf numFmtId="164" fontId="2" fillId="0" borderId="0" xfId="1" applyFont="1"/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/>
    </xf>
    <xf numFmtId="0" fontId="5" fillId="4" borderId="0" xfId="3" applyFill="1"/>
    <xf numFmtId="0" fontId="5" fillId="0" borderId="0" xfId="3"/>
    <xf numFmtId="0" fontId="5" fillId="4" borderId="0" xfId="3" applyFont="1" applyFill="1" applyBorder="1" applyAlignment="1">
      <alignment horizontal="left" vertical="center"/>
    </xf>
    <xf numFmtId="0" fontId="1" fillId="0" borderId="0" xfId="3" applyFont="1"/>
    <xf numFmtId="0" fontId="1" fillId="4" borderId="0" xfId="3" applyFont="1" applyFill="1"/>
    <xf numFmtId="0" fontId="5" fillId="4" borderId="16" xfId="3" applyFont="1" applyFill="1" applyBorder="1" applyAlignment="1">
      <alignment horizontal="center" vertical="center"/>
    </xf>
    <xf numFmtId="0" fontId="5" fillId="4" borderId="16" xfId="3" applyFont="1" applyFill="1" applyBorder="1" applyAlignment="1">
      <alignment horizontal="left" vertical="center"/>
    </xf>
    <xf numFmtId="0" fontId="5" fillId="4" borderId="16" xfId="3" applyFont="1" applyFill="1" applyBorder="1" applyAlignment="1">
      <alignment horizontal="right" vertical="center"/>
    </xf>
    <xf numFmtId="4" fontId="5" fillId="4" borderId="16" xfId="3" applyNumberFormat="1" applyFont="1" applyFill="1" applyBorder="1" applyAlignment="1">
      <alignment horizontal="right" vertical="center"/>
    </xf>
    <xf numFmtId="0" fontId="5" fillId="0" borderId="0" xfId="3" applyAlignment="1">
      <alignment vertical="center"/>
    </xf>
    <xf numFmtId="0" fontId="5" fillId="4" borderId="0" xfId="3" applyFont="1" applyFill="1" applyBorder="1" applyAlignment="1">
      <alignment vertical="center"/>
    </xf>
    <xf numFmtId="0" fontId="5" fillId="4" borderId="0" xfId="3" applyFill="1" applyAlignment="1">
      <alignment vertical="center"/>
    </xf>
    <xf numFmtId="0" fontId="8" fillId="4" borderId="17" xfId="3" applyFont="1" applyFill="1" applyBorder="1" applyAlignment="1">
      <alignment horizontal="left" vertical="center"/>
    </xf>
    <xf numFmtId="0" fontId="8" fillId="4" borderId="12" xfId="3" applyFont="1" applyFill="1" applyBorder="1" applyAlignment="1">
      <alignment horizontal="left" vertical="center"/>
    </xf>
    <xf numFmtId="0" fontId="8" fillId="4" borderId="12" xfId="3" applyFont="1" applyFill="1" applyBorder="1" applyAlignment="1">
      <alignment horizontal="left" vertical="top"/>
    </xf>
    <xf numFmtId="0" fontId="5" fillId="4" borderId="12" xfId="3" applyFont="1" applyFill="1" applyBorder="1" applyAlignment="1">
      <alignment horizontal="left" vertical="center"/>
    </xf>
    <xf numFmtId="0" fontId="0" fillId="0" borderId="16" xfId="0" applyFont="1" applyBorder="1" applyAlignment="1">
      <alignment horizontal="left" vertical="center" wrapText="1"/>
    </xf>
    <xf numFmtId="0" fontId="5" fillId="0" borderId="0" xfId="0" applyFont="1" applyBorder="1" applyAlignment="1">
      <alignment vertical="center"/>
    </xf>
    <xf numFmtId="0" fontId="13" fillId="4" borderId="0" xfId="3" applyFont="1" applyFill="1" applyBorder="1" applyAlignment="1">
      <alignment vertical="center"/>
    </xf>
    <xf numFmtId="0" fontId="8" fillId="0" borderId="0" xfId="3" applyFont="1" applyAlignment="1">
      <alignment horizontal="right" vertical="center"/>
    </xf>
    <xf numFmtId="0" fontId="8" fillId="4" borderId="18" xfId="3" applyFont="1" applyFill="1" applyBorder="1" applyAlignment="1">
      <alignment horizontal="center" vertical="center"/>
    </xf>
    <xf numFmtId="166" fontId="2" fillId="0" borderId="16" xfId="1" applyNumberFormat="1" applyFont="1" applyBorder="1"/>
    <xf numFmtId="166" fontId="2" fillId="0" borderId="16" xfId="0" applyNumberFormat="1" applyFont="1" applyBorder="1"/>
    <xf numFmtId="166" fontId="3" fillId="0" borderId="16" xfId="1" applyNumberFormat="1" applyFont="1" applyBorder="1"/>
    <xf numFmtId="166" fontId="3" fillId="0" borderId="16" xfId="0" applyNumberFormat="1" applyFont="1" applyBorder="1"/>
    <xf numFmtId="10" fontId="3" fillId="0" borderId="16" xfId="0" applyNumberFormat="1" applyFont="1" applyBorder="1"/>
    <xf numFmtId="0" fontId="2" fillId="0" borderId="15" xfId="0" applyFont="1" applyFill="1" applyBorder="1"/>
    <xf numFmtId="0" fontId="3" fillId="0" borderId="15" xfId="0" applyFont="1" applyFill="1" applyBorder="1"/>
    <xf numFmtId="0" fontId="2" fillId="0" borderId="9" xfId="0" applyFont="1" applyBorder="1" applyAlignment="1"/>
    <xf numFmtId="0" fontId="2" fillId="0" borderId="0" xfId="0" applyFont="1" applyBorder="1" applyAlignment="1"/>
    <xf numFmtId="0" fontId="8" fillId="5" borderId="24" xfId="3" applyFont="1" applyFill="1" applyBorder="1" applyAlignment="1">
      <alignment horizontal="center" vertical="center"/>
    </xf>
    <xf numFmtId="3" fontId="5" fillId="4" borderId="16" xfId="3" applyNumberFormat="1" applyFont="1" applyFill="1" applyBorder="1" applyAlignment="1">
      <alignment horizontal="right" vertical="center"/>
    </xf>
    <xf numFmtId="0" fontId="8" fillId="4" borderId="16" xfId="3" applyFont="1" applyFill="1" applyBorder="1" applyAlignment="1">
      <alignment horizontal="left" vertical="center"/>
    </xf>
    <xf numFmtId="4" fontId="8" fillId="4" borderId="16" xfId="3" applyNumberFormat="1" applyFont="1" applyFill="1" applyBorder="1" applyAlignment="1">
      <alignment horizontal="right" vertical="center"/>
    </xf>
    <xf numFmtId="0" fontId="5" fillId="4" borderId="7" xfId="3" applyFont="1" applyFill="1" applyBorder="1" applyAlignment="1">
      <alignment horizontal="center" vertical="center"/>
    </xf>
    <xf numFmtId="0" fontId="5" fillId="4" borderId="7" xfId="3" applyFont="1" applyFill="1" applyBorder="1" applyAlignment="1">
      <alignment horizontal="left" vertical="center"/>
    </xf>
    <xf numFmtId="0" fontId="5" fillId="4" borderId="7" xfId="3" applyFont="1" applyFill="1" applyBorder="1" applyAlignment="1">
      <alignment horizontal="right" vertical="center"/>
    </xf>
    <xf numFmtId="0" fontId="5" fillId="4" borderId="0" xfId="3" applyFont="1" applyFill="1" applyBorder="1" applyAlignment="1">
      <alignment horizontal="right" vertical="center"/>
    </xf>
    <xf numFmtId="0" fontId="5" fillId="4" borderId="0" xfId="3" applyFill="1" applyBorder="1" applyAlignment="1">
      <alignment vertical="center"/>
    </xf>
    <xf numFmtId="0" fontId="5" fillId="0" borderId="0" xfId="3" applyBorder="1" applyAlignment="1">
      <alignment vertical="center"/>
    </xf>
    <xf numFmtId="0" fontId="8" fillId="4" borderId="7" xfId="3" applyFont="1" applyFill="1" applyBorder="1" applyAlignment="1">
      <alignment horizontal="left" vertical="center"/>
    </xf>
    <xf numFmtId="4" fontId="8" fillId="4" borderId="7" xfId="3" applyNumberFormat="1" applyFont="1" applyFill="1" applyBorder="1" applyAlignment="1">
      <alignment horizontal="right" vertical="center"/>
    </xf>
    <xf numFmtId="0" fontId="14" fillId="4" borderId="0" xfId="0" applyFont="1" applyFill="1"/>
    <xf numFmtId="0" fontId="5" fillId="4" borderId="0" xfId="3" applyFont="1" applyFill="1" applyAlignment="1">
      <alignment vertical="center"/>
    </xf>
    <xf numFmtId="0" fontId="5" fillId="0" borderId="0" xfId="3" applyFont="1" applyAlignment="1">
      <alignment vertical="center"/>
    </xf>
    <xf numFmtId="0" fontId="2" fillId="0" borderId="12" xfId="0" applyFont="1" applyBorder="1"/>
    <xf numFmtId="0" fontId="2" fillId="0" borderId="21" xfId="0" applyFont="1" applyBorder="1"/>
    <xf numFmtId="0" fontId="2" fillId="0" borderId="19" xfId="0" applyFont="1" applyBorder="1"/>
    <xf numFmtId="0" fontId="2" fillId="0" borderId="22" xfId="0" applyFont="1" applyBorder="1"/>
    <xf numFmtId="0" fontId="2" fillId="0" borderId="20" xfId="0" applyFont="1" applyBorder="1"/>
    <xf numFmtId="0" fontId="2" fillId="0" borderId="23" xfId="0" applyFont="1" applyBorder="1"/>
    <xf numFmtId="0" fontId="2" fillId="4" borderId="0" xfId="3" applyFont="1" applyFill="1"/>
    <xf numFmtId="0" fontId="5" fillId="0" borderId="12" xfId="0" applyFont="1" applyBorder="1" applyAlignment="1">
      <alignment vertical="center"/>
    </xf>
    <xf numFmtId="0" fontId="1" fillId="0" borderId="16" xfId="0" applyFont="1" applyBorder="1" applyAlignment="1">
      <alignment horizontal="center" vertical="center" wrapText="1"/>
    </xf>
    <xf numFmtId="10" fontId="2" fillId="0" borderId="0" xfId="0" applyNumberFormat="1" applyFont="1"/>
    <xf numFmtId="165" fontId="2" fillId="0" borderId="0" xfId="2" applyFont="1"/>
    <xf numFmtId="10" fontId="3" fillId="0" borderId="10" xfId="6" applyNumberFormat="1" applyFont="1" applyBorder="1"/>
    <xf numFmtId="167" fontId="3" fillId="0" borderId="0" xfId="6" applyNumberFormat="1" applyFont="1" applyBorder="1"/>
    <xf numFmtId="166" fontId="15" fillId="0" borderId="16" xfId="1" applyNumberFormat="1" applyFont="1" applyBorder="1"/>
    <xf numFmtId="166" fontId="15" fillId="0" borderId="16" xfId="0" applyNumberFormat="1" applyFont="1" applyBorder="1"/>
    <xf numFmtId="165" fontId="2" fillId="6" borderId="4" xfId="2" applyFont="1" applyFill="1" applyBorder="1"/>
    <xf numFmtId="165" fontId="2" fillId="6" borderId="5" xfId="2" applyFont="1" applyFill="1" applyBorder="1"/>
    <xf numFmtId="165" fontId="2" fillId="6" borderId="5" xfId="2" applyFont="1" applyFill="1" applyBorder="1" applyAlignment="1">
      <alignment vertical="center"/>
    </xf>
    <xf numFmtId="165" fontId="2" fillId="6" borderId="4" xfId="2" applyFont="1" applyFill="1" applyBorder="1" applyAlignment="1">
      <alignment vertical="center"/>
    </xf>
    <xf numFmtId="0" fontId="1" fillId="0" borderId="16" xfId="0" applyFont="1" applyBorder="1" applyAlignment="1">
      <alignment horizontal="left" vertical="center" wrapText="1"/>
    </xf>
    <xf numFmtId="0" fontId="5" fillId="4" borderId="0" xfId="3" applyFont="1" applyFill="1" applyBorder="1" applyAlignment="1">
      <alignment horizontal="center" vertical="center"/>
    </xf>
    <xf numFmtId="0" fontId="0" fillId="0" borderId="16" xfId="0" applyFont="1" applyBorder="1" applyAlignment="1">
      <alignment horizontal="center" vertical="center" wrapText="1"/>
    </xf>
    <xf numFmtId="4" fontId="16" fillId="4" borderId="16" xfId="3" applyNumberFormat="1" applyFont="1" applyFill="1" applyBorder="1" applyAlignment="1">
      <alignment horizontal="right" vertical="center"/>
    </xf>
    <xf numFmtId="166" fontId="2" fillId="7" borderId="16" xfId="1" applyNumberFormat="1" applyFont="1" applyFill="1" applyBorder="1"/>
    <xf numFmtId="166" fontId="2" fillId="7" borderId="15" xfId="1" applyNumberFormat="1" applyFont="1" applyFill="1" applyBorder="1"/>
    <xf numFmtId="166" fontId="2" fillId="7" borderId="15" xfId="0" applyNumberFormat="1" applyFont="1" applyFill="1" applyBorder="1"/>
    <xf numFmtId="10" fontId="2" fillId="7" borderId="16" xfId="0" applyNumberFormat="1" applyFont="1" applyFill="1" applyBorder="1"/>
    <xf numFmtId="166" fontId="2" fillId="6" borderId="15" xfId="1" applyNumberFormat="1" applyFont="1" applyFill="1" applyBorder="1"/>
    <xf numFmtId="166" fontId="2" fillId="6" borderId="15" xfId="0" applyNumberFormat="1" applyFont="1" applyFill="1" applyBorder="1"/>
    <xf numFmtId="0" fontId="3" fillId="0" borderId="16" xfId="0" applyFont="1" applyBorder="1" applyAlignment="1">
      <alignment horizontal="left"/>
    </xf>
    <xf numFmtId="0" fontId="2" fillId="2" borderId="1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0" borderId="21" xfId="0" applyFont="1" applyBorder="1" applyAlignment="1">
      <alignment horizontal="left" vertical="center"/>
    </xf>
    <xf numFmtId="0" fontId="0" fillId="0" borderId="19" xfId="0" applyBorder="1" applyAlignment="1">
      <alignment horizontal="left"/>
    </xf>
    <xf numFmtId="0" fontId="2" fillId="0" borderId="21" xfId="0" applyFont="1" applyBorder="1" applyAlignment="1" applyProtection="1">
      <alignment horizontal="left"/>
      <protection locked="0"/>
    </xf>
    <xf numFmtId="0" fontId="2" fillId="0" borderId="19" xfId="0" applyFont="1" applyBorder="1" applyAlignment="1" applyProtection="1">
      <alignment horizontal="left"/>
      <protection locked="0"/>
    </xf>
    <xf numFmtId="0" fontId="2" fillId="0" borderId="22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/>
    </xf>
    <xf numFmtId="0" fontId="2" fillId="0" borderId="22" xfId="0" applyFont="1" applyBorder="1" applyAlignment="1" applyProtection="1">
      <alignment horizontal="left"/>
      <protection locked="0"/>
    </xf>
    <xf numFmtId="0" fontId="2" fillId="0" borderId="20" xfId="0" applyFont="1" applyBorder="1" applyAlignment="1" applyProtection="1">
      <alignment horizontal="left"/>
      <protection locked="0"/>
    </xf>
    <xf numFmtId="0" fontId="8" fillId="4" borderId="16" xfId="3" applyFont="1" applyFill="1" applyBorder="1" applyAlignment="1">
      <alignment horizontal="center" vertical="center"/>
    </xf>
    <xf numFmtId="0" fontId="6" fillId="4" borderId="0" xfId="3" applyFont="1" applyFill="1" applyBorder="1" applyAlignment="1">
      <alignment horizontal="center" vertical="center"/>
    </xf>
    <xf numFmtId="0" fontId="4" fillId="4" borderId="0" xfId="3" applyFont="1" applyFill="1" applyBorder="1" applyAlignment="1">
      <alignment horizontal="center" vertical="center"/>
    </xf>
    <xf numFmtId="0" fontId="7" fillId="4" borderId="0" xfId="3" applyFont="1" applyFill="1" applyBorder="1" applyAlignment="1">
      <alignment horizontal="center" vertical="center"/>
    </xf>
    <xf numFmtId="0" fontId="9" fillId="4" borderId="0" xfId="3" applyFont="1" applyFill="1" applyBorder="1" applyAlignment="1">
      <alignment horizontal="center" vertical="center"/>
    </xf>
    <xf numFmtId="0" fontId="5" fillId="4" borderId="0" xfId="3" applyFont="1" applyFill="1" applyBorder="1" applyAlignment="1">
      <alignment horizontal="center" vertical="center"/>
    </xf>
    <xf numFmtId="0" fontId="0" fillId="0" borderId="14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left" vertical="center" wrapText="1"/>
    </xf>
    <xf numFmtId="0" fontId="0" fillId="0" borderId="16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left" vertical="center" wrapText="1"/>
    </xf>
    <xf numFmtId="0" fontId="9" fillId="0" borderId="14" xfId="0" applyFont="1" applyBorder="1" applyAlignment="1">
      <alignment horizontal="left" vertical="center" wrapText="1"/>
    </xf>
    <xf numFmtId="0" fontId="9" fillId="0" borderId="17" xfId="0" applyFont="1" applyBorder="1" applyAlignment="1">
      <alignment horizontal="left" vertical="center" wrapText="1"/>
    </xf>
    <xf numFmtId="0" fontId="9" fillId="0" borderId="15" xfId="0" applyFont="1" applyBorder="1" applyAlignment="1">
      <alignment horizontal="left" vertical="center" wrapText="1"/>
    </xf>
    <xf numFmtId="0" fontId="2" fillId="4" borderId="0" xfId="3" applyFont="1" applyFill="1" applyBorder="1" applyAlignment="1">
      <alignment horizontal="left" vertical="center"/>
    </xf>
  </cellXfs>
  <cellStyles count="7">
    <cellStyle name="Moeda" xfId="2" builtinId="4"/>
    <cellStyle name="Moeda 2" xfId="5"/>
    <cellStyle name="Normal" xfId="0" builtinId="0"/>
    <cellStyle name="Normal 2" xfId="3"/>
    <cellStyle name="Porcentagem" xfId="6" builtinId="5"/>
    <cellStyle name="Separador de milhares 2" xfId="4"/>
    <cellStyle name="Vírgula" xfId="1" builtinId="3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P79"/>
  <sheetViews>
    <sheetView tabSelected="1" topLeftCell="A40" zoomScale="115" zoomScaleNormal="115" zoomScaleSheetLayoutView="115" workbookViewId="0">
      <selection activeCell="Q48" sqref="Q48"/>
    </sheetView>
  </sheetViews>
  <sheetFormatPr defaultColWidth="13.85546875" defaultRowHeight="11.25" x14ac:dyDescent="0.2"/>
  <cols>
    <col min="1" max="1" width="13.85546875" style="1"/>
    <col min="2" max="2" width="16.85546875" style="1" customWidth="1"/>
    <col min="3" max="3" width="13.85546875" style="1"/>
    <col min="4" max="4" width="15.5703125" style="1" customWidth="1"/>
    <col min="5" max="16384" width="13.85546875" style="1"/>
  </cols>
  <sheetData>
    <row r="2" spans="1:14" ht="20.25" customHeight="1" x14ac:dyDescent="0.2">
      <c r="A2" s="55"/>
    </row>
    <row r="3" spans="1:14" ht="15.75" x14ac:dyDescent="0.2">
      <c r="A3" s="53" t="s">
        <v>38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</row>
    <row r="4" spans="1:14" ht="15.75" x14ac:dyDescent="0.2">
      <c r="A4" s="54" t="s">
        <v>39</v>
      </c>
      <c r="B4" s="52"/>
      <c r="C4" s="3"/>
      <c r="D4" s="52"/>
      <c r="E4" s="52"/>
      <c r="G4" s="52"/>
      <c r="H4" s="52"/>
      <c r="I4" s="52"/>
      <c r="J4" s="52"/>
      <c r="K4" s="52"/>
      <c r="L4" s="52"/>
      <c r="M4" s="52"/>
      <c r="N4" s="52"/>
    </row>
    <row r="5" spans="1:14" ht="15.75" x14ac:dyDescent="0.2">
      <c r="A5" s="52"/>
      <c r="B5" s="52"/>
      <c r="C5" s="52"/>
      <c r="D5" s="52"/>
      <c r="E5" s="52"/>
      <c r="F5" s="52"/>
      <c r="G5" s="52"/>
      <c r="H5" s="52"/>
      <c r="I5" s="52"/>
      <c r="J5" s="52"/>
      <c r="K5" s="52"/>
      <c r="L5" s="3"/>
      <c r="M5" s="52"/>
      <c r="N5" s="52"/>
    </row>
    <row r="6" spans="1:14" ht="12" thickBot="1" x14ac:dyDescent="0.25">
      <c r="A6" s="4"/>
      <c r="B6" s="4"/>
      <c r="C6" s="4"/>
      <c r="D6" s="4"/>
      <c r="E6" s="4"/>
      <c r="F6" s="5"/>
      <c r="G6" s="4"/>
      <c r="H6" s="4"/>
      <c r="I6" s="4"/>
    </row>
    <row r="7" spans="1:14" ht="13.5" customHeight="1" thickBot="1" x14ac:dyDescent="0.25">
      <c r="A7" s="132" t="s">
        <v>166</v>
      </c>
      <c r="B7" s="133"/>
      <c r="C7" s="133"/>
      <c r="D7" s="133"/>
      <c r="E7" s="133"/>
      <c r="F7" s="133"/>
      <c r="G7" s="133"/>
      <c r="H7" s="133"/>
      <c r="I7" s="133"/>
      <c r="J7" s="133"/>
      <c r="K7" s="133"/>
      <c r="L7" s="134"/>
    </row>
    <row r="8" spans="1:14" ht="12" x14ac:dyDescent="0.2">
      <c r="A8" s="135" t="s">
        <v>36</v>
      </c>
      <c r="B8" s="136"/>
      <c r="C8" s="120">
        <v>1729.64</v>
      </c>
      <c r="D8" s="137" t="s">
        <v>101</v>
      </c>
      <c r="E8" s="138"/>
      <c r="F8" s="6">
        <f>ROUND(C8*30%,2)</f>
        <v>518.89</v>
      </c>
      <c r="G8" s="103" t="s">
        <v>156</v>
      </c>
      <c r="H8" s="104"/>
      <c r="I8" s="117">
        <v>3.2</v>
      </c>
      <c r="J8" s="103" t="s">
        <v>157</v>
      </c>
      <c r="K8" s="104"/>
      <c r="L8" s="117">
        <v>65.77</v>
      </c>
      <c r="N8" s="7"/>
    </row>
    <row r="9" spans="1:14" ht="12" thickBot="1" x14ac:dyDescent="0.25">
      <c r="A9" s="139" t="s">
        <v>37</v>
      </c>
      <c r="B9" s="140"/>
      <c r="C9" s="119">
        <v>2075.5700000000002</v>
      </c>
      <c r="D9" s="141" t="s">
        <v>101</v>
      </c>
      <c r="E9" s="142"/>
      <c r="F9" s="8">
        <f>ROUND(C9*30%,2)</f>
        <v>622.66999999999996</v>
      </c>
      <c r="G9" s="105" t="s">
        <v>27</v>
      </c>
      <c r="H9" s="106"/>
      <c r="I9" s="118">
        <v>17</v>
      </c>
      <c r="J9" s="105"/>
      <c r="K9" s="107"/>
      <c r="L9" s="8"/>
      <c r="M9" s="7"/>
      <c r="N9" s="7"/>
    </row>
    <row r="10" spans="1:14" x14ac:dyDescent="0.2">
      <c r="A10" s="4"/>
      <c r="B10" s="4"/>
      <c r="C10" s="4"/>
      <c r="D10" s="4"/>
      <c r="E10" s="4"/>
      <c r="F10" s="5"/>
      <c r="G10" s="4"/>
      <c r="H10" s="4"/>
      <c r="I10" s="4"/>
    </row>
    <row r="11" spans="1:14" s="2" customFormat="1" x14ac:dyDescent="0.2">
      <c r="A11" s="12"/>
      <c r="B11" s="12"/>
      <c r="C11" s="113"/>
      <c r="D11" s="9" t="s">
        <v>0</v>
      </c>
      <c r="E11" s="10"/>
      <c r="F11" s="9" t="s">
        <v>1</v>
      </c>
      <c r="G11" s="10"/>
      <c r="H11" s="9" t="s">
        <v>2</v>
      </c>
      <c r="I11" s="10"/>
      <c r="J11" s="9" t="s">
        <v>3</v>
      </c>
      <c r="K11" s="10"/>
      <c r="L11" s="9" t="s">
        <v>4</v>
      </c>
      <c r="M11" s="10"/>
    </row>
    <row r="12" spans="1:14" s="2" customFormat="1" x14ac:dyDescent="0.2">
      <c r="A12" s="56"/>
      <c r="B12" s="114"/>
      <c r="C12" s="13"/>
      <c r="D12" s="11" t="s">
        <v>5</v>
      </c>
      <c r="E12" s="14"/>
      <c r="F12" s="11" t="s">
        <v>6</v>
      </c>
      <c r="G12" s="14"/>
      <c r="H12" s="11" t="s">
        <v>6</v>
      </c>
      <c r="I12" s="14"/>
      <c r="J12" s="11" t="s">
        <v>7</v>
      </c>
      <c r="K12" s="14"/>
      <c r="L12" s="11" t="s">
        <v>7</v>
      </c>
      <c r="M12" s="14"/>
    </row>
    <row r="13" spans="1:14" s="2" customFormat="1" x14ac:dyDescent="0.2">
      <c r="A13" s="12"/>
      <c r="B13" s="12"/>
      <c r="C13" s="13"/>
      <c r="D13" s="11" t="s">
        <v>8</v>
      </c>
      <c r="E13" s="14"/>
      <c r="F13" s="11"/>
      <c r="G13" s="14"/>
      <c r="H13" s="11"/>
      <c r="I13" s="14"/>
      <c r="J13" s="11" t="s">
        <v>9</v>
      </c>
      <c r="K13" s="14"/>
      <c r="L13" s="11" t="s">
        <v>10</v>
      </c>
      <c r="M13" s="14"/>
    </row>
    <row r="14" spans="1:14" s="18" customFormat="1" x14ac:dyDescent="0.2">
      <c r="A14" s="85"/>
      <c r="B14" s="86"/>
      <c r="C14" s="86"/>
      <c r="D14" s="19" t="s">
        <v>11</v>
      </c>
      <c r="E14" s="20"/>
      <c r="F14" s="19" t="s">
        <v>12</v>
      </c>
      <c r="G14" s="20"/>
      <c r="H14" s="19" t="s">
        <v>13</v>
      </c>
      <c r="I14" s="20"/>
      <c r="J14" s="19" t="s">
        <v>14</v>
      </c>
      <c r="K14" s="20"/>
      <c r="L14" s="19" t="s">
        <v>15</v>
      </c>
      <c r="M14" s="20"/>
    </row>
    <row r="15" spans="1:14" s="2" customFormat="1" x14ac:dyDescent="0.2">
      <c r="A15" s="21"/>
      <c r="B15" s="12"/>
      <c r="C15" s="22" t="s">
        <v>16</v>
      </c>
      <c r="D15" s="22" t="s">
        <v>17</v>
      </c>
      <c r="E15" s="23" t="s">
        <v>18</v>
      </c>
      <c r="F15" s="22" t="s">
        <v>17</v>
      </c>
      <c r="G15" s="23" t="s">
        <v>18</v>
      </c>
      <c r="H15" s="22" t="s">
        <v>17</v>
      </c>
      <c r="I15" s="23" t="s">
        <v>18</v>
      </c>
      <c r="J15" s="22" t="s">
        <v>17</v>
      </c>
      <c r="K15" s="23" t="s">
        <v>18</v>
      </c>
      <c r="L15" s="22" t="s">
        <v>17</v>
      </c>
      <c r="M15" s="24" t="s">
        <v>18</v>
      </c>
      <c r="N15" s="22" t="s">
        <v>19</v>
      </c>
    </row>
    <row r="16" spans="1:14" x14ac:dyDescent="0.2">
      <c r="A16" s="25"/>
      <c r="B16" s="26"/>
      <c r="C16" s="26"/>
      <c r="D16" s="27"/>
      <c r="E16" s="28">
        <v>8</v>
      </c>
      <c r="F16" s="26"/>
      <c r="G16" s="28">
        <v>10</v>
      </c>
      <c r="H16" s="26"/>
      <c r="I16" s="28">
        <v>10</v>
      </c>
      <c r="J16" s="26"/>
      <c r="K16" s="28">
        <v>1</v>
      </c>
      <c r="L16" s="26"/>
      <c r="M16" s="29">
        <v>1</v>
      </c>
      <c r="N16" s="30">
        <f>E16+(G16*2)+(I16*2)+(K16*2)+(M16*2)</f>
        <v>52</v>
      </c>
    </row>
    <row r="17" spans="1:14" s="2" customFormat="1" x14ac:dyDescent="0.2">
      <c r="A17" s="31" t="s">
        <v>20</v>
      </c>
      <c r="B17" s="32"/>
      <c r="C17" s="43"/>
      <c r="D17" s="22" t="s">
        <v>21</v>
      </c>
      <c r="E17" s="22" t="s">
        <v>22</v>
      </c>
      <c r="F17" s="22" t="s">
        <v>21</v>
      </c>
      <c r="G17" s="22" t="s">
        <v>22</v>
      </c>
      <c r="H17" s="22" t="s">
        <v>21</v>
      </c>
      <c r="I17" s="22" t="s">
        <v>22</v>
      </c>
      <c r="J17" s="22" t="s">
        <v>21</v>
      </c>
      <c r="K17" s="22" t="s">
        <v>22</v>
      </c>
      <c r="L17" s="22" t="s">
        <v>21</v>
      </c>
      <c r="M17" s="22" t="s">
        <v>22</v>
      </c>
      <c r="N17" s="22" t="s">
        <v>23</v>
      </c>
    </row>
    <row r="18" spans="1:14" x14ac:dyDescent="0.2">
      <c r="A18" s="34" t="s">
        <v>102</v>
      </c>
      <c r="B18" s="35"/>
      <c r="C18" s="83"/>
      <c r="D18" s="78">
        <f>C8</f>
        <v>1729.64</v>
      </c>
      <c r="E18" s="79">
        <f>D18*$E$16</f>
        <v>13837.12</v>
      </c>
      <c r="F18" s="79">
        <f>C8*2</f>
        <v>3459.28</v>
      </c>
      <c r="G18" s="79">
        <f>F18*$G$16</f>
        <v>34592.800000000003</v>
      </c>
      <c r="H18" s="78">
        <f>C8*2</f>
        <v>3459.28</v>
      </c>
      <c r="I18" s="79">
        <f t="shared" ref="I18:I23" si="0">H18*$I$16</f>
        <v>34592.800000000003</v>
      </c>
      <c r="J18" s="79">
        <f>C9*2</f>
        <v>4151.1400000000003</v>
      </c>
      <c r="K18" s="79">
        <f>J18*$K$16</f>
        <v>4151.1400000000003</v>
      </c>
      <c r="L18" s="79">
        <f>C9*2</f>
        <v>4151.1400000000003</v>
      </c>
      <c r="M18" s="79">
        <f t="shared" ref="M18:M23" si="1">L18*$M$16</f>
        <v>4151.1400000000003</v>
      </c>
      <c r="N18" s="38"/>
    </row>
    <row r="19" spans="1:14" x14ac:dyDescent="0.2">
      <c r="A19" s="34" t="s">
        <v>103</v>
      </c>
      <c r="B19" s="35"/>
      <c r="C19" s="83"/>
      <c r="D19" s="78">
        <f>F8</f>
        <v>518.89</v>
      </c>
      <c r="E19" s="79">
        <f>D19*$E$16</f>
        <v>4151.12</v>
      </c>
      <c r="F19" s="79">
        <f>F8*2</f>
        <v>1037.78</v>
      </c>
      <c r="G19" s="79">
        <f>F19*$G$16</f>
        <v>10377.799999999999</v>
      </c>
      <c r="H19" s="78">
        <f>F8*2</f>
        <v>1037.78</v>
      </c>
      <c r="I19" s="79">
        <f t="shared" si="0"/>
        <v>10377.799999999999</v>
      </c>
      <c r="J19" s="79">
        <f>F9*2</f>
        <v>1245.3399999999999</v>
      </c>
      <c r="K19" s="79">
        <f>J19*$K$16</f>
        <v>1245.3399999999999</v>
      </c>
      <c r="L19" s="79">
        <f>F9*2</f>
        <v>1245.3399999999999</v>
      </c>
      <c r="M19" s="79">
        <f t="shared" si="1"/>
        <v>1245.3399999999999</v>
      </c>
      <c r="N19" s="38"/>
    </row>
    <row r="20" spans="1:14" x14ac:dyDescent="0.2">
      <c r="A20" s="34" t="s">
        <v>104</v>
      </c>
      <c r="B20" s="35"/>
      <c r="C20" s="83"/>
      <c r="D20" s="78"/>
      <c r="E20" s="79"/>
      <c r="F20" s="79"/>
      <c r="G20" s="79"/>
      <c r="H20" s="78">
        <f>'Memória Cálculo'!D20*2</f>
        <v>639.9</v>
      </c>
      <c r="I20" s="79">
        <f t="shared" si="0"/>
        <v>6399</v>
      </c>
      <c r="J20" s="79"/>
      <c r="K20" s="79"/>
      <c r="L20" s="79">
        <f>'Memória Cálculo'!F20*2</f>
        <v>766.8</v>
      </c>
      <c r="M20" s="79">
        <f t="shared" si="1"/>
        <v>766.8</v>
      </c>
      <c r="N20" s="38"/>
    </row>
    <row r="21" spans="1:14" x14ac:dyDescent="0.2">
      <c r="A21" s="34" t="s">
        <v>119</v>
      </c>
      <c r="B21" s="35"/>
      <c r="C21" s="83"/>
      <c r="D21" s="78"/>
      <c r="E21" s="79"/>
      <c r="F21" s="79"/>
      <c r="G21" s="79"/>
      <c r="H21" s="78">
        <f>'Memória Cálculo'!D24*2</f>
        <v>639</v>
      </c>
      <c r="I21" s="79">
        <f t="shared" si="0"/>
        <v>6390</v>
      </c>
      <c r="J21" s="79"/>
      <c r="K21" s="79"/>
      <c r="L21" s="79">
        <f>'Memória Cálculo'!F24*2</f>
        <v>766.8</v>
      </c>
      <c r="M21" s="79">
        <f t="shared" si="1"/>
        <v>766.8</v>
      </c>
      <c r="N21" s="38"/>
    </row>
    <row r="22" spans="1:14" x14ac:dyDescent="0.2">
      <c r="A22" s="34" t="s">
        <v>148</v>
      </c>
      <c r="B22" s="35"/>
      <c r="C22" s="83"/>
      <c r="D22" s="78"/>
      <c r="E22" s="79"/>
      <c r="F22" s="79">
        <f>'Memória Cálculo'!C29*2</f>
        <v>162.4</v>
      </c>
      <c r="G22" s="79">
        <f>F22*$G$16</f>
        <v>1624</v>
      </c>
      <c r="H22" s="78">
        <f>'Memória Cálculo'!D29*2</f>
        <v>208.58</v>
      </c>
      <c r="I22" s="79">
        <f t="shared" si="0"/>
        <v>2085.8000000000002</v>
      </c>
      <c r="J22" s="79">
        <f>'Memória Cálculo'!E29*2</f>
        <v>194.88</v>
      </c>
      <c r="K22" s="79">
        <f>J22*$K$16</f>
        <v>194.88</v>
      </c>
      <c r="L22" s="79">
        <f>'Memória Cálculo'!F29*2</f>
        <v>250.26</v>
      </c>
      <c r="M22" s="79">
        <f t="shared" si="1"/>
        <v>250.26</v>
      </c>
      <c r="N22" s="38"/>
    </row>
    <row r="23" spans="1:14" x14ac:dyDescent="0.2">
      <c r="A23" s="34" t="s">
        <v>147</v>
      </c>
      <c r="B23" s="35"/>
      <c r="C23" s="83"/>
      <c r="D23" s="78"/>
      <c r="E23" s="79"/>
      <c r="F23" s="79">
        <f>'Memória Cálculo'!C37*2</f>
        <v>35.78</v>
      </c>
      <c r="G23" s="79">
        <f>F23*$G$16</f>
        <v>357.8</v>
      </c>
      <c r="H23" s="78">
        <f>'Memória Cálculo'!D37*2</f>
        <v>327.76</v>
      </c>
      <c r="I23" s="79">
        <f t="shared" si="0"/>
        <v>3277.6</v>
      </c>
      <c r="J23" s="79">
        <f>'Memória Cálculo'!E37*2</f>
        <v>42.94</v>
      </c>
      <c r="K23" s="79">
        <f>J23*$K$16</f>
        <v>42.94</v>
      </c>
      <c r="L23" s="79">
        <f>'Memória Cálculo'!F37*2</f>
        <v>393.06</v>
      </c>
      <c r="M23" s="79">
        <f t="shared" si="1"/>
        <v>393.06</v>
      </c>
      <c r="N23" s="38"/>
    </row>
    <row r="24" spans="1:14" ht="12.75" x14ac:dyDescent="0.25">
      <c r="A24" s="34" t="s">
        <v>163</v>
      </c>
      <c r="B24" s="35"/>
      <c r="C24" s="83"/>
      <c r="D24" s="115"/>
      <c r="E24" s="116"/>
      <c r="F24" s="79">
        <f>SUM(F18:F19)/190*1.5*15</f>
        <v>532.54657894736852</v>
      </c>
      <c r="G24" s="79">
        <f>F24*G16</f>
        <v>5325.4657894736847</v>
      </c>
      <c r="H24" s="78">
        <f>SUM(H18:H20)/190*1.5*15</f>
        <v>608.32421052631582</v>
      </c>
      <c r="I24" s="79">
        <f>H24*I16</f>
        <v>6083.242105263158</v>
      </c>
      <c r="J24" s="79">
        <f>SUM(J18:J19)/190*1.5*15</f>
        <v>639.05684210526329</v>
      </c>
      <c r="K24" s="79">
        <f>J24*K16</f>
        <v>639.05684210526329</v>
      </c>
      <c r="L24" s="79">
        <f>SUM(L18:L20)/190*1.5*15</f>
        <v>729.86210526315801</v>
      </c>
      <c r="M24" s="79">
        <f>L24*M16</f>
        <v>729.86210526315801</v>
      </c>
      <c r="N24" s="38"/>
    </row>
    <row r="25" spans="1:14" s="2" customFormat="1" x14ac:dyDescent="0.2">
      <c r="A25" s="31" t="s">
        <v>24</v>
      </c>
      <c r="B25" s="32"/>
      <c r="C25" s="84"/>
      <c r="D25" s="80">
        <f t="shared" ref="D25:M25" si="2">SUM(D18:D24)</f>
        <v>2248.5300000000002</v>
      </c>
      <c r="E25" s="80">
        <f t="shared" si="2"/>
        <v>17988.240000000002</v>
      </c>
      <c r="F25" s="80">
        <f t="shared" si="2"/>
        <v>5227.7865789473681</v>
      </c>
      <c r="G25" s="80">
        <f t="shared" si="2"/>
        <v>52277.865789473697</v>
      </c>
      <c r="H25" s="80">
        <f t="shared" si="2"/>
        <v>6920.6242105263163</v>
      </c>
      <c r="I25" s="80">
        <f t="shared" si="2"/>
        <v>69206.242105263169</v>
      </c>
      <c r="J25" s="80">
        <f t="shared" si="2"/>
        <v>6273.3568421052632</v>
      </c>
      <c r="K25" s="80">
        <f t="shared" si="2"/>
        <v>6273.3568421052632</v>
      </c>
      <c r="L25" s="80">
        <f t="shared" si="2"/>
        <v>8303.2621052631603</v>
      </c>
      <c r="M25" s="80">
        <f t="shared" si="2"/>
        <v>8303.2621052631603</v>
      </c>
      <c r="N25" s="33"/>
    </row>
    <row r="26" spans="1:14" x14ac:dyDescent="0.2">
      <c r="A26" s="34"/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42"/>
      <c r="N26" s="38"/>
    </row>
    <row r="27" spans="1:14" x14ac:dyDescent="0.2">
      <c r="A27" s="31" t="s">
        <v>25</v>
      </c>
      <c r="B27" s="42"/>
      <c r="C27" s="128"/>
      <c r="D27" s="78">
        <f>D25*C27</f>
        <v>0</v>
      </c>
      <c r="E27" s="78">
        <f>E25*C27</f>
        <v>0</v>
      </c>
      <c r="F27" s="78">
        <f>F25*C27</f>
        <v>0</v>
      </c>
      <c r="G27" s="78">
        <f>G25*C27</f>
        <v>0</v>
      </c>
      <c r="H27" s="78">
        <f>H25*C27</f>
        <v>0</v>
      </c>
      <c r="I27" s="78">
        <f>I25*C27</f>
        <v>0</v>
      </c>
      <c r="J27" s="78">
        <f>J25*C27</f>
        <v>0</v>
      </c>
      <c r="K27" s="78">
        <f>K25*C27</f>
        <v>0</v>
      </c>
      <c r="L27" s="78">
        <f>L25*C27</f>
        <v>0</v>
      </c>
      <c r="M27" s="78">
        <f>M25*C27</f>
        <v>0</v>
      </c>
      <c r="N27" s="38"/>
    </row>
    <row r="28" spans="1:14" s="2" customFormat="1" x14ac:dyDescent="0.2">
      <c r="A28" s="31" t="s">
        <v>26</v>
      </c>
      <c r="B28" s="43"/>
      <c r="C28" s="33"/>
      <c r="D28" s="81">
        <f t="shared" ref="D28:M28" si="3">SUM(D25:D27)</f>
        <v>2248.5300000000002</v>
      </c>
      <c r="E28" s="81">
        <f t="shared" si="3"/>
        <v>17988.240000000002</v>
      </c>
      <c r="F28" s="81">
        <f t="shared" si="3"/>
        <v>5227.7865789473681</v>
      </c>
      <c r="G28" s="81">
        <f t="shared" si="3"/>
        <v>52277.865789473697</v>
      </c>
      <c r="H28" s="81">
        <f>SUM(H25:H27)</f>
        <v>6920.6242105263163</v>
      </c>
      <c r="I28" s="81">
        <f>SUM(I25:I27)</f>
        <v>69206.242105263169</v>
      </c>
      <c r="J28" s="81">
        <f t="shared" si="3"/>
        <v>6273.3568421052632</v>
      </c>
      <c r="K28" s="81">
        <f>SUM(K25:K27)</f>
        <v>6273.3568421052632</v>
      </c>
      <c r="L28" s="81">
        <f t="shared" si="3"/>
        <v>8303.2621052631603</v>
      </c>
      <c r="M28" s="81">
        <f t="shared" si="3"/>
        <v>8303.2621052631603</v>
      </c>
      <c r="N28" s="33"/>
    </row>
    <row r="30" spans="1:14" x14ac:dyDescent="0.2">
      <c r="A30" s="33" t="s">
        <v>118</v>
      </c>
      <c r="B30" s="38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</row>
    <row r="31" spans="1:14" x14ac:dyDescent="0.2">
      <c r="A31" s="34" t="s">
        <v>105</v>
      </c>
      <c r="B31" s="42"/>
      <c r="C31" s="36"/>
      <c r="D31" s="125"/>
      <c r="E31" s="78">
        <f>D31*E16</f>
        <v>0</v>
      </c>
      <c r="F31" s="78">
        <f>D31</f>
        <v>0</v>
      </c>
      <c r="G31" s="78">
        <f>F31*G16</f>
        <v>0</v>
      </c>
      <c r="H31" s="78">
        <f>F31</f>
        <v>0</v>
      </c>
      <c r="I31" s="78">
        <f>H31*I16</f>
        <v>0</v>
      </c>
      <c r="J31" s="78">
        <f>H31</f>
        <v>0</v>
      </c>
      <c r="K31" s="78">
        <f>J31*$K$16</f>
        <v>0</v>
      </c>
      <c r="L31" s="78">
        <f>J31</f>
        <v>0</v>
      </c>
      <c r="M31" s="78">
        <f>L31</f>
        <v>0</v>
      </c>
      <c r="N31" s="38"/>
    </row>
    <row r="32" spans="1:14" x14ac:dyDescent="0.2">
      <c r="A32" s="44" t="s">
        <v>106</v>
      </c>
      <c r="B32" s="45"/>
      <c r="C32" s="46"/>
      <c r="D32" s="125"/>
      <c r="E32" s="78">
        <f>D32*E16</f>
        <v>0</v>
      </c>
      <c r="F32" s="78">
        <f>D32</f>
        <v>0</v>
      </c>
      <c r="G32" s="78">
        <f>F32*G16</f>
        <v>0</v>
      </c>
      <c r="H32" s="78">
        <f>F32</f>
        <v>0</v>
      </c>
      <c r="I32" s="78">
        <f>H32*I16</f>
        <v>0</v>
      </c>
      <c r="J32" s="78">
        <f>H32</f>
        <v>0</v>
      </c>
      <c r="K32" s="78">
        <f>J32*$K$16</f>
        <v>0</v>
      </c>
      <c r="L32" s="78">
        <f>J32</f>
        <v>0</v>
      </c>
      <c r="M32" s="78">
        <f>L32</f>
        <v>0</v>
      </c>
      <c r="N32" s="38"/>
    </row>
    <row r="33" spans="1:14" x14ac:dyDescent="0.2">
      <c r="A33" s="34" t="s">
        <v>107</v>
      </c>
      <c r="B33" s="35"/>
      <c r="C33" s="38"/>
      <c r="D33" s="126"/>
      <c r="E33" s="78">
        <f>D33*E16</f>
        <v>0</v>
      </c>
      <c r="F33" s="78">
        <f>D33</f>
        <v>0</v>
      </c>
      <c r="G33" s="78">
        <f>F33*G16</f>
        <v>0</v>
      </c>
      <c r="H33" s="78">
        <f>D33</f>
        <v>0</v>
      </c>
      <c r="I33" s="78">
        <f>H33*I16</f>
        <v>0</v>
      </c>
      <c r="J33" s="78">
        <f>H33</f>
        <v>0</v>
      </c>
      <c r="K33" s="78">
        <f>J33*$K$16</f>
        <v>0</v>
      </c>
      <c r="L33" s="78">
        <f>J33</f>
        <v>0</v>
      </c>
      <c r="M33" s="78">
        <f>L33</f>
        <v>0</v>
      </c>
      <c r="N33" s="38"/>
    </row>
    <row r="34" spans="1:14" x14ac:dyDescent="0.2">
      <c r="A34" s="34" t="s">
        <v>108</v>
      </c>
      <c r="B34" s="42"/>
      <c r="C34" s="38"/>
      <c r="D34" s="127"/>
      <c r="E34" s="79">
        <f>D34*E16</f>
        <v>0</v>
      </c>
      <c r="F34" s="79">
        <f>D34</f>
        <v>0</v>
      </c>
      <c r="G34" s="79">
        <f>F34*G16</f>
        <v>0</v>
      </c>
      <c r="H34" s="79">
        <f>D34</f>
        <v>0</v>
      </c>
      <c r="I34" s="79">
        <f>H34*I16</f>
        <v>0</v>
      </c>
      <c r="J34" s="79">
        <f>H34</f>
        <v>0</v>
      </c>
      <c r="K34" s="78">
        <f>J34*$K$16</f>
        <v>0</v>
      </c>
      <c r="L34" s="79">
        <f>J34</f>
        <v>0</v>
      </c>
      <c r="M34" s="79">
        <f>L34*M16</f>
        <v>0</v>
      </c>
      <c r="N34" s="38"/>
    </row>
    <row r="35" spans="1:14" x14ac:dyDescent="0.2">
      <c r="A35" s="25" t="s">
        <v>109</v>
      </c>
      <c r="B35" s="26"/>
      <c r="C35" s="38"/>
      <c r="D35" s="129">
        <f>22*I9*85%</f>
        <v>317.89999999999998</v>
      </c>
      <c r="E35" s="78">
        <f>D35*E16</f>
        <v>2543.1999999999998</v>
      </c>
      <c r="F35" s="78">
        <f>30*I9*85%</f>
        <v>433.5</v>
      </c>
      <c r="G35" s="78">
        <f>F35*G16</f>
        <v>4335</v>
      </c>
      <c r="H35" s="78">
        <f>F35</f>
        <v>433.5</v>
      </c>
      <c r="I35" s="78">
        <f>H35*I16</f>
        <v>4335</v>
      </c>
      <c r="J35" s="78">
        <f>H35</f>
        <v>433.5</v>
      </c>
      <c r="K35" s="78">
        <f>J35*$K$16</f>
        <v>433.5</v>
      </c>
      <c r="L35" s="78">
        <f>J35</f>
        <v>433.5</v>
      </c>
      <c r="M35" s="78">
        <f>L35*M16</f>
        <v>433.5</v>
      </c>
      <c r="N35" s="38"/>
    </row>
    <row r="36" spans="1:14" x14ac:dyDescent="0.2">
      <c r="A36" s="34" t="s">
        <v>161</v>
      </c>
      <c r="B36" s="42"/>
      <c r="C36" s="38"/>
      <c r="D36" s="130">
        <f>44*I8-C8*6%</f>
        <v>37.021600000000007</v>
      </c>
      <c r="E36" s="79">
        <f>D36*E16</f>
        <v>296.17280000000005</v>
      </c>
      <c r="F36" s="79"/>
      <c r="G36" s="79"/>
      <c r="H36" s="79"/>
      <c r="I36" s="79"/>
      <c r="J36" s="79"/>
      <c r="K36" s="78"/>
      <c r="L36" s="79"/>
      <c r="M36" s="79"/>
      <c r="N36" s="38"/>
    </row>
    <row r="37" spans="1:14" x14ac:dyDescent="0.2">
      <c r="A37" s="25" t="s">
        <v>155</v>
      </c>
      <c r="B37" s="26"/>
      <c r="C37" s="38"/>
      <c r="D37" s="127"/>
      <c r="E37" s="79">
        <f>D37*E16</f>
        <v>0</v>
      </c>
      <c r="F37" s="79">
        <f>D37</f>
        <v>0</v>
      </c>
      <c r="G37" s="79">
        <f>F37*G16</f>
        <v>0</v>
      </c>
      <c r="H37" s="79">
        <f>F37</f>
        <v>0</v>
      </c>
      <c r="I37" s="79">
        <f>H37*I16</f>
        <v>0</v>
      </c>
      <c r="J37" s="79">
        <f>H37</f>
        <v>0</v>
      </c>
      <c r="K37" s="78">
        <f t="shared" ref="K37:K39" si="4">J37*$K$16</f>
        <v>0</v>
      </c>
      <c r="L37" s="79">
        <f>J37</f>
        <v>0</v>
      </c>
      <c r="M37" s="79">
        <f>L37*M16</f>
        <v>0</v>
      </c>
      <c r="N37" s="38"/>
    </row>
    <row r="38" spans="1:14" x14ac:dyDescent="0.2">
      <c r="A38" s="34" t="s">
        <v>111</v>
      </c>
      <c r="B38" s="42"/>
      <c r="C38" s="38"/>
      <c r="D38" s="126"/>
      <c r="E38" s="78">
        <f>D38*E16</f>
        <v>0</v>
      </c>
      <c r="F38" s="78">
        <f>D38</f>
        <v>0</v>
      </c>
      <c r="G38" s="78">
        <f>F38*G16</f>
        <v>0</v>
      </c>
      <c r="H38" s="78">
        <f>D38</f>
        <v>0</v>
      </c>
      <c r="I38" s="78">
        <f>G38</f>
        <v>0</v>
      </c>
      <c r="J38" s="78">
        <f>H38</f>
        <v>0</v>
      </c>
      <c r="K38" s="78">
        <f t="shared" si="4"/>
        <v>0</v>
      </c>
      <c r="L38" s="78">
        <f>J38</f>
        <v>0</v>
      </c>
      <c r="M38" s="78">
        <f>L38</f>
        <v>0</v>
      </c>
      <c r="N38" s="38"/>
    </row>
    <row r="39" spans="1:14" x14ac:dyDescent="0.2">
      <c r="A39" s="34" t="s">
        <v>110</v>
      </c>
      <c r="B39" s="42"/>
      <c r="C39" s="38"/>
      <c r="D39" s="126"/>
      <c r="E39" s="78">
        <f>D39*E16</f>
        <v>0</v>
      </c>
      <c r="F39" s="78">
        <f>D39</f>
        <v>0</v>
      </c>
      <c r="G39" s="78">
        <f>F39*G16</f>
        <v>0</v>
      </c>
      <c r="H39" s="78">
        <f>F39</f>
        <v>0</v>
      </c>
      <c r="I39" s="78">
        <f>H39*I16</f>
        <v>0</v>
      </c>
      <c r="J39" s="78">
        <f>H39</f>
        <v>0</v>
      </c>
      <c r="K39" s="78">
        <f t="shared" si="4"/>
        <v>0</v>
      </c>
      <c r="L39" s="78">
        <f>J39</f>
        <v>0</v>
      </c>
      <c r="M39" s="78">
        <f>L39</f>
        <v>0</v>
      </c>
      <c r="N39" s="38"/>
    </row>
    <row r="40" spans="1:14" x14ac:dyDescent="0.2">
      <c r="A40" s="49" t="s">
        <v>159</v>
      </c>
      <c r="B40" s="102"/>
      <c r="C40" s="50"/>
      <c r="D40" s="129">
        <f>$L$8</f>
        <v>65.77</v>
      </c>
      <c r="E40" s="78">
        <f>D40*E16</f>
        <v>526.16</v>
      </c>
      <c r="F40" s="78">
        <f>$L$8*2</f>
        <v>131.54</v>
      </c>
      <c r="G40" s="78">
        <f>F40*G16</f>
        <v>1315.3999999999999</v>
      </c>
      <c r="H40" s="78">
        <f>$L$8*2</f>
        <v>131.54</v>
      </c>
      <c r="I40" s="78">
        <f>H40*I16</f>
        <v>1315.3999999999999</v>
      </c>
      <c r="J40" s="78">
        <f>$L$8*2</f>
        <v>131.54</v>
      </c>
      <c r="K40" s="78">
        <f>J40*$K$16</f>
        <v>131.54</v>
      </c>
      <c r="L40" s="78">
        <f>$L$8*2</f>
        <v>131.54</v>
      </c>
      <c r="M40" s="78">
        <f>L40*M16</f>
        <v>131.54</v>
      </c>
      <c r="N40" s="38"/>
    </row>
    <row r="41" spans="1:14" s="2" customFormat="1" x14ac:dyDescent="0.2">
      <c r="A41" s="15" t="s">
        <v>28</v>
      </c>
      <c r="B41" s="16"/>
      <c r="C41" s="17"/>
      <c r="D41" s="80">
        <f>SUM(D31:D40)</f>
        <v>420.69159999999999</v>
      </c>
      <c r="E41" s="80">
        <f t="shared" ref="E41:M41" si="5">SUM(E31:E40)</f>
        <v>3365.5328</v>
      </c>
      <c r="F41" s="80">
        <f t="shared" si="5"/>
        <v>565.04</v>
      </c>
      <c r="G41" s="80">
        <f t="shared" si="5"/>
        <v>5650.4</v>
      </c>
      <c r="H41" s="80">
        <f>SUM(H31:H40)</f>
        <v>565.04</v>
      </c>
      <c r="I41" s="80">
        <f>SUM(I31:I40)</f>
        <v>5650.4</v>
      </c>
      <c r="J41" s="80">
        <f t="shared" si="5"/>
        <v>565.04</v>
      </c>
      <c r="K41" s="80">
        <f t="shared" si="5"/>
        <v>565.04</v>
      </c>
      <c r="L41" s="80">
        <f t="shared" si="5"/>
        <v>565.04</v>
      </c>
      <c r="M41" s="80">
        <f t="shared" si="5"/>
        <v>565.04</v>
      </c>
      <c r="N41" s="33"/>
    </row>
    <row r="43" spans="1:14" s="2" customFormat="1" x14ac:dyDescent="0.2">
      <c r="A43" s="31" t="s">
        <v>29</v>
      </c>
      <c r="B43" s="32"/>
      <c r="C43" s="43"/>
      <c r="D43" s="39">
        <f>SUM(D28,D41)</f>
        <v>2669.2216000000003</v>
      </c>
      <c r="E43" s="40">
        <f t="shared" ref="E43:M43" si="6">SUM(E28,E41)</f>
        <v>21353.772800000002</v>
      </c>
      <c r="F43" s="39">
        <f t="shared" si="6"/>
        <v>5792.826578947368</v>
      </c>
      <c r="G43" s="40">
        <f t="shared" si="6"/>
        <v>57928.265789473699</v>
      </c>
      <c r="H43" s="39">
        <f>SUM(H28,H41)</f>
        <v>7485.6642105263163</v>
      </c>
      <c r="I43" s="40">
        <f>SUM(I28,I41)</f>
        <v>74856.642105263163</v>
      </c>
      <c r="J43" s="39">
        <f t="shared" si="6"/>
        <v>6838.3968421052632</v>
      </c>
      <c r="K43" s="40">
        <f t="shared" si="6"/>
        <v>6838.3968421052632</v>
      </c>
      <c r="L43" s="41">
        <f t="shared" si="6"/>
        <v>8868.3021052631593</v>
      </c>
      <c r="M43" s="40">
        <f t="shared" si="6"/>
        <v>8868.3021052631593</v>
      </c>
      <c r="N43" s="33"/>
    </row>
    <row r="45" spans="1:14" x14ac:dyDescent="0.2">
      <c r="A45" s="31" t="s">
        <v>30</v>
      </c>
      <c r="B45" s="32"/>
      <c r="C45" s="32"/>
      <c r="D45" s="32"/>
      <c r="E45" s="32"/>
      <c r="F45" s="32"/>
      <c r="G45" s="32"/>
      <c r="H45" s="32"/>
      <c r="I45" s="32"/>
      <c r="J45" s="32"/>
      <c r="K45" s="32"/>
      <c r="L45" s="32"/>
      <c r="M45" s="32"/>
      <c r="N45" s="43"/>
    </row>
    <row r="46" spans="1:14" x14ac:dyDescent="0.2">
      <c r="A46" s="34" t="s">
        <v>112</v>
      </c>
      <c r="B46" s="35"/>
      <c r="C46" s="128"/>
      <c r="D46" s="37">
        <f>D43*C46</f>
        <v>0</v>
      </c>
      <c r="E46" s="37">
        <f>E43*C46</f>
        <v>0</v>
      </c>
      <c r="F46" s="37">
        <f>F43*C46</f>
        <v>0</v>
      </c>
      <c r="G46" s="37">
        <f>G43*C46</f>
        <v>0</v>
      </c>
      <c r="H46" s="37">
        <f>H43*C46</f>
        <v>0</v>
      </c>
      <c r="I46" s="37">
        <f>I43*C46</f>
        <v>0</v>
      </c>
      <c r="J46" s="37">
        <f>J43*C46</f>
        <v>0</v>
      </c>
      <c r="K46" s="37">
        <f>K43*C46</f>
        <v>0</v>
      </c>
      <c r="L46" s="37">
        <f>L43*C46</f>
        <v>0</v>
      </c>
      <c r="M46" s="37">
        <f>M43*C46</f>
        <v>0</v>
      </c>
      <c r="N46" s="38"/>
    </row>
    <row r="47" spans="1:14" x14ac:dyDescent="0.2">
      <c r="A47" s="34" t="s">
        <v>113</v>
      </c>
      <c r="B47" s="35"/>
      <c r="C47" s="128"/>
      <c r="D47" s="37">
        <f>D44*C47</f>
        <v>0</v>
      </c>
      <c r="E47" s="37">
        <f>E44*C47</f>
        <v>0</v>
      </c>
      <c r="F47" s="37">
        <f>F44*C47</f>
        <v>0</v>
      </c>
      <c r="G47" s="37">
        <f>G44*C47</f>
        <v>0</v>
      </c>
      <c r="H47" s="37">
        <f>H44*C47</f>
        <v>0</v>
      </c>
      <c r="I47" s="37">
        <f>I44*C47</f>
        <v>0</v>
      </c>
      <c r="J47" s="37">
        <f>J44*C47</f>
        <v>0</v>
      </c>
      <c r="K47" s="37">
        <f>K44*C47</f>
        <v>0</v>
      </c>
      <c r="L47" s="37">
        <f>L44*C47</f>
        <v>0</v>
      </c>
      <c r="M47" s="37">
        <f>M44*C47</f>
        <v>0</v>
      </c>
      <c r="N47" s="38"/>
    </row>
    <row r="48" spans="1:14" x14ac:dyDescent="0.2">
      <c r="A48" s="34" t="s">
        <v>114</v>
      </c>
      <c r="B48" s="35"/>
      <c r="C48" s="128"/>
      <c r="D48" s="37">
        <f>SUM(D43:D47)*C48</f>
        <v>0</v>
      </c>
      <c r="E48" s="37">
        <f>SUM(E43:E47)*C48</f>
        <v>0</v>
      </c>
      <c r="F48" s="37">
        <f>SUM(F43:F47)*C48</f>
        <v>0</v>
      </c>
      <c r="G48" s="37">
        <f>SUM(G43:G47)*C48</f>
        <v>0</v>
      </c>
      <c r="H48" s="37">
        <f>SUM(H43:H47)*C48</f>
        <v>0</v>
      </c>
      <c r="I48" s="37">
        <f>SUM(I43:I47)*C48</f>
        <v>0</v>
      </c>
      <c r="J48" s="37">
        <f>SUM(J43:J47)*C48</f>
        <v>0</v>
      </c>
      <c r="K48" s="37">
        <f>SUM(K43:K47)*C48</f>
        <v>0</v>
      </c>
      <c r="L48" s="37">
        <f>SUM(L43:L47)*C48</f>
        <v>0</v>
      </c>
      <c r="M48" s="37">
        <f>SUM(M43:M47)*C48</f>
        <v>0</v>
      </c>
      <c r="N48" s="38"/>
    </row>
    <row r="49" spans="1:16" s="2" customFormat="1" x14ac:dyDescent="0.2">
      <c r="A49" s="15" t="s">
        <v>31</v>
      </c>
      <c r="B49" s="16"/>
      <c r="C49" s="33"/>
      <c r="D49" s="40">
        <f>SUM(D46:D48)</f>
        <v>0</v>
      </c>
      <c r="E49" s="40">
        <f t="shared" ref="E49:M49" si="7">SUM(E46:E48)</f>
        <v>0</v>
      </c>
      <c r="F49" s="40">
        <f t="shared" si="7"/>
        <v>0</v>
      </c>
      <c r="G49" s="40">
        <f t="shared" si="7"/>
        <v>0</v>
      </c>
      <c r="H49" s="40">
        <f>SUM(H46:H48)</f>
        <v>0</v>
      </c>
      <c r="I49" s="40">
        <f>SUM(I46:I48)</f>
        <v>0</v>
      </c>
      <c r="J49" s="40">
        <f t="shared" si="7"/>
        <v>0</v>
      </c>
      <c r="K49" s="40">
        <f t="shared" si="7"/>
        <v>0</v>
      </c>
      <c r="L49" s="40">
        <f t="shared" si="7"/>
        <v>0</v>
      </c>
      <c r="M49" s="40">
        <f t="shared" si="7"/>
        <v>0</v>
      </c>
      <c r="N49" s="33"/>
    </row>
    <row r="51" spans="1:16" s="2" customFormat="1" x14ac:dyDescent="0.2">
      <c r="A51" s="33" t="s">
        <v>32</v>
      </c>
      <c r="B51" s="33"/>
      <c r="C51" s="33"/>
      <c r="D51" s="48">
        <f>SUM(D43,D49)</f>
        <v>2669.2216000000003</v>
      </c>
      <c r="E51" s="40">
        <f t="shared" ref="E51:M51" si="8">SUM(E43,E49)</f>
        <v>21353.772800000002</v>
      </c>
      <c r="F51" s="48">
        <f t="shared" si="8"/>
        <v>5792.826578947368</v>
      </c>
      <c r="G51" s="40">
        <f t="shared" si="8"/>
        <v>57928.265789473699</v>
      </c>
      <c r="H51" s="48">
        <f>SUM(H43,H49)</f>
        <v>7485.6642105263163</v>
      </c>
      <c r="I51" s="40">
        <f>SUM(I43,I49)</f>
        <v>74856.642105263163</v>
      </c>
      <c r="J51" s="48">
        <f t="shared" si="8"/>
        <v>6838.3968421052632</v>
      </c>
      <c r="K51" s="40">
        <f t="shared" si="8"/>
        <v>6838.3968421052632</v>
      </c>
      <c r="L51" s="41">
        <f t="shared" si="8"/>
        <v>8868.3021052631593</v>
      </c>
      <c r="M51" s="40">
        <f t="shared" si="8"/>
        <v>8868.3021052631593</v>
      </c>
      <c r="N51" s="33"/>
    </row>
    <row r="53" spans="1:16" x14ac:dyDescent="0.2">
      <c r="A53" s="31" t="s">
        <v>33</v>
      </c>
      <c r="B53" s="35"/>
      <c r="C53" s="35"/>
      <c r="D53" s="35"/>
      <c r="E53" s="35"/>
      <c r="F53" s="35"/>
      <c r="G53" s="35"/>
      <c r="H53" s="35"/>
      <c r="I53" s="35"/>
      <c r="J53" s="35"/>
      <c r="K53" s="35"/>
      <c r="L53" s="35"/>
      <c r="M53" s="35"/>
      <c r="N53" s="42"/>
    </row>
    <row r="54" spans="1:16" x14ac:dyDescent="0.2">
      <c r="A54" s="44" t="s">
        <v>115</v>
      </c>
      <c r="B54" s="46"/>
      <c r="C54" s="128"/>
      <c r="D54" s="37">
        <f>$D$59*C54</f>
        <v>0</v>
      </c>
      <c r="E54" s="37">
        <f>$E$59*C54</f>
        <v>0</v>
      </c>
      <c r="F54" s="37">
        <f>$F$59*C54</f>
        <v>0</v>
      </c>
      <c r="G54" s="37">
        <f>$G$59*C54</f>
        <v>0</v>
      </c>
      <c r="H54" s="37">
        <f>$H$59*C54</f>
        <v>0</v>
      </c>
      <c r="I54" s="37">
        <f>$I$59*C54</f>
        <v>0</v>
      </c>
      <c r="J54" s="37">
        <f>$J$59*C54</f>
        <v>0</v>
      </c>
      <c r="K54" s="37">
        <f>$K$59*C54</f>
        <v>0</v>
      </c>
      <c r="L54" s="37">
        <f>$L$59*C54</f>
        <v>0</v>
      </c>
      <c r="M54" s="37">
        <f>$M$59*C54</f>
        <v>0</v>
      </c>
      <c r="N54" s="38"/>
    </row>
    <row r="55" spans="1:16" x14ac:dyDescent="0.2">
      <c r="A55" s="34" t="s">
        <v>116</v>
      </c>
      <c r="B55" s="42"/>
      <c r="C55" s="128"/>
      <c r="D55" s="37">
        <f>$D$59*C55</f>
        <v>0</v>
      </c>
      <c r="E55" s="37">
        <f>$E$59*C55</f>
        <v>0</v>
      </c>
      <c r="F55" s="37">
        <f>$F$59*C55</f>
        <v>0</v>
      </c>
      <c r="G55" s="37">
        <f>$G$59*C55</f>
        <v>0</v>
      </c>
      <c r="H55" s="37">
        <f>$H$59*C55</f>
        <v>0</v>
      </c>
      <c r="I55" s="37">
        <f>$I$59*C55</f>
        <v>0</v>
      </c>
      <c r="J55" s="37">
        <f>$J$59*C55</f>
        <v>0</v>
      </c>
      <c r="K55" s="37">
        <f>$K$59*C55</f>
        <v>0</v>
      </c>
      <c r="L55" s="37">
        <f>$L$59*C55</f>
        <v>0</v>
      </c>
      <c r="M55" s="37">
        <f>$M$59*C55</f>
        <v>0</v>
      </c>
      <c r="N55" s="38"/>
    </row>
    <row r="56" spans="1:16" x14ac:dyDescent="0.2">
      <c r="A56" s="49" t="s">
        <v>117</v>
      </c>
      <c r="B56" s="50"/>
      <c r="C56" s="128"/>
      <c r="D56" s="37">
        <f>$D$59*C56</f>
        <v>0</v>
      </c>
      <c r="E56" s="37">
        <f>$E$59*C56</f>
        <v>0</v>
      </c>
      <c r="F56" s="37">
        <f>$F$59*C56</f>
        <v>0</v>
      </c>
      <c r="G56" s="37">
        <f>$G$59*C56</f>
        <v>0</v>
      </c>
      <c r="H56" s="37">
        <f>$H$59*C56</f>
        <v>0</v>
      </c>
      <c r="I56" s="37">
        <f>$I$59*C56</f>
        <v>0</v>
      </c>
      <c r="J56" s="37">
        <f>$J$59*C56</f>
        <v>0</v>
      </c>
      <c r="K56" s="37">
        <f>$K$59*C56</f>
        <v>0</v>
      </c>
      <c r="L56" s="37">
        <f>$L$59*C56</f>
        <v>0</v>
      </c>
      <c r="M56" s="37">
        <f>$M$59*C56</f>
        <v>0</v>
      </c>
      <c r="N56" s="38"/>
    </row>
    <row r="57" spans="1:16" s="2" customFormat="1" x14ac:dyDescent="0.2">
      <c r="A57" s="15" t="s">
        <v>34</v>
      </c>
      <c r="B57" s="17"/>
      <c r="C57" s="82">
        <f>SUM(C54:C56)</f>
        <v>0</v>
      </c>
      <c r="D57" s="40">
        <f>$D$59*C57</f>
        <v>0</v>
      </c>
      <c r="E57" s="40">
        <f>$E$59*C57</f>
        <v>0</v>
      </c>
      <c r="F57" s="40">
        <f>$F$59*C57</f>
        <v>0</v>
      </c>
      <c r="G57" s="40">
        <f>$G$59*C57</f>
        <v>0</v>
      </c>
      <c r="H57" s="40">
        <f>$H$59*C57</f>
        <v>0</v>
      </c>
      <c r="I57" s="40">
        <f>$I$59*C57</f>
        <v>0</v>
      </c>
      <c r="J57" s="40">
        <f>$J$59*C57</f>
        <v>0</v>
      </c>
      <c r="K57" s="40">
        <f>$K$59*C57</f>
        <v>0</v>
      </c>
      <c r="L57" s="40">
        <f>$L$59*C57</f>
        <v>0</v>
      </c>
      <c r="M57" s="40">
        <f>$M$59*C57</f>
        <v>0</v>
      </c>
      <c r="N57" s="33"/>
    </row>
    <row r="59" spans="1:16" s="2" customFormat="1" x14ac:dyDescent="0.2">
      <c r="A59" s="31" t="s">
        <v>120</v>
      </c>
      <c r="B59" s="32"/>
      <c r="C59" s="43"/>
      <c r="D59" s="40">
        <f>ROUND(D51/0.9465,2)</f>
        <v>2820.1</v>
      </c>
      <c r="E59" s="40">
        <f>ROUND(D59*E16,2)</f>
        <v>22560.799999999999</v>
      </c>
      <c r="F59" s="40">
        <f>ROUND(F51/0.9465,2)</f>
        <v>6120.26</v>
      </c>
      <c r="G59" s="40">
        <f>ROUND(F59*G16,2)</f>
        <v>61202.6</v>
      </c>
      <c r="H59" s="40">
        <f>ROUND(H51/0.9465,2)</f>
        <v>7908.78</v>
      </c>
      <c r="I59" s="40">
        <f>ROUND(H59*I16,2)</f>
        <v>79087.8</v>
      </c>
      <c r="J59" s="40">
        <f>ROUND(J51/0.9465,2)</f>
        <v>7224.93</v>
      </c>
      <c r="K59" s="40">
        <f>ROUND(K51/0.9465,2)</f>
        <v>7224.93</v>
      </c>
      <c r="L59" s="40">
        <f>ROUND(L51/0.9465,2)</f>
        <v>9369.57</v>
      </c>
      <c r="M59" s="40">
        <f>ROUND(M51/0.9465,2)</f>
        <v>9369.57</v>
      </c>
      <c r="N59" s="33"/>
    </row>
    <row r="61" spans="1:16" s="2" customFormat="1" x14ac:dyDescent="0.2">
      <c r="A61" s="131" t="s">
        <v>35</v>
      </c>
      <c r="B61" s="131"/>
      <c r="C61" s="131"/>
      <c r="D61" s="131"/>
      <c r="E61" s="131"/>
      <c r="F61" s="131"/>
      <c r="G61" s="131"/>
      <c r="H61" s="131"/>
      <c r="I61" s="131"/>
      <c r="J61" s="131"/>
      <c r="K61" s="131"/>
      <c r="L61" s="131"/>
      <c r="M61" s="131"/>
      <c r="N61" s="40">
        <f>ROUND(SUM(E59,G59,I59,K59,M59),2)</f>
        <v>179445.7</v>
      </c>
      <c r="P61" s="47"/>
    </row>
    <row r="62" spans="1:16" ht="6.75" customHeight="1" x14ac:dyDescent="0.2"/>
    <row r="63" spans="1:16" x14ac:dyDescent="0.2">
      <c r="A63" s="108" t="s">
        <v>158</v>
      </c>
      <c r="N63" s="51"/>
    </row>
    <row r="64" spans="1:16" x14ac:dyDescent="0.2">
      <c r="A64" s="108"/>
      <c r="N64" s="51"/>
    </row>
    <row r="65" spans="1:14" x14ac:dyDescent="0.2">
      <c r="A65" s="108"/>
      <c r="N65" s="51"/>
    </row>
    <row r="66" spans="1:14" x14ac:dyDescent="0.2">
      <c r="A66" s="108"/>
    </row>
    <row r="69" spans="1:14" x14ac:dyDescent="0.2">
      <c r="E69" s="111"/>
    </row>
    <row r="71" spans="1:14" x14ac:dyDescent="0.2">
      <c r="E71" s="7"/>
      <c r="G71" s="7"/>
      <c r="I71" s="7"/>
      <c r="K71" s="7"/>
      <c r="M71" s="7"/>
    </row>
    <row r="72" spans="1:14" x14ac:dyDescent="0.2">
      <c r="E72" s="7"/>
    </row>
    <row r="73" spans="1:14" x14ac:dyDescent="0.2">
      <c r="E73" s="7"/>
    </row>
    <row r="74" spans="1:14" x14ac:dyDescent="0.2">
      <c r="E74" s="7"/>
    </row>
    <row r="76" spans="1:14" x14ac:dyDescent="0.2">
      <c r="C76" s="112"/>
    </row>
    <row r="78" spans="1:14" x14ac:dyDescent="0.2">
      <c r="C78" s="7"/>
    </row>
    <row r="79" spans="1:14" x14ac:dyDescent="0.2">
      <c r="C79" s="7"/>
    </row>
  </sheetData>
  <mergeCells count="6">
    <mergeCell ref="A61:M61"/>
    <mergeCell ref="A7:L7"/>
    <mergeCell ref="A8:B8"/>
    <mergeCell ref="D8:E8"/>
    <mergeCell ref="A9:B9"/>
    <mergeCell ref="D9:E9"/>
  </mergeCells>
  <printOptions horizontalCentered="1"/>
  <pageMargins left="0.39370078740157483" right="0.23622047244094491" top="0.6692913385826772" bottom="0.51181102362204722" header="0.51181102362204722" footer="0.51181102362204722"/>
  <pageSetup paperSize="9" scale="71" orientation="landscape" r:id="rId1"/>
  <headerFooter alignWithMargins="0"/>
  <rowBreaks count="1" manualBreakCount="1">
    <brk id="5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4"/>
  <sheetViews>
    <sheetView topLeftCell="A16" zoomScale="130" zoomScaleNormal="130" workbookViewId="0">
      <selection activeCell="C41" sqref="C41"/>
    </sheetView>
  </sheetViews>
  <sheetFormatPr defaultRowHeight="12.75" x14ac:dyDescent="0.2"/>
  <cols>
    <col min="1" max="1" width="16" style="58" customWidth="1"/>
    <col min="2" max="2" width="52.42578125" style="58" customWidth="1"/>
    <col min="3" max="3" width="15.28515625" style="58" customWidth="1"/>
    <col min="4" max="4" width="15.5703125" style="58" customWidth="1"/>
    <col min="5" max="5" width="15.28515625" style="58" customWidth="1"/>
    <col min="6" max="6" width="15.5703125" style="58" customWidth="1"/>
    <col min="7" max="16384" width="9.140625" style="58"/>
  </cols>
  <sheetData>
    <row r="1" spans="1:7" ht="18.75" customHeight="1" x14ac:dyDescent="0.2">
      <c r="A1" s="144" t="s">
        <v>40</v>
      </c>
      <c r="B1" s="144"/>
      <c r="C1" s="144"/>
      <c r="D1" s="144"/>
      <c r="E1" s="144"/>
      <c r="F1" s="144"/>
      <c r="G1" s="57"/>
    </row>
    <row r="2" spans="1:7" ht="26.25" customHeight="1" x14ac:dyDescent="0.2">
      <c r="A2" s="145"/>
      <c r="B2" s="145"/>
      <c r="C2" s="145"/>
      <c r="D2" s="145"/>
      <c r="E2" s="145"/>
      <c r="F2" s="145"/>
      <c r="G2" s="57"/>
    </row>
    <row r="3" spans="1:7" ht="15" x14ac:dyDescent="0.2">
      <c r="A3" s="146"/>
      <c r="B3" s="146"/>
      <c r="C3" s="146"/>
      <c r="D3" s="146"/>
      <c r="E3" s="146"/>
      <c r="F3" s="146"/>
      <c r="G3" s="57"/>
    </row>
    <row r="4" spans="1:7" s="60" customFormat="1" ht="13.5" customHeight="1" x14ac:dyDescent="0.2">
      <c r="A4" s="147" t="s">
        <v>164</v>
      </c>
      <c r="B4" s="147"/>
      <c r="C4" s="147"/>
      <c r="D4" s="147"/>
      <c r="E4" s="147"/>
      <c r="F4" s="147"/>
      <c r="G4" s="61"/>
    </row>
    <row r="5" spans="1:7" ht="12.75" customHeight="1" x14ac:dyDescent="0.2">
      <c r="A5" s="148"/>
      <c r="B5" s="148"/>
      <c r="C5" s="148"/>
      <c r="D5" s="148"/>
      <c r="E5" s="148"/>
      <c r="F5" s="148"/>
      <c r="G5" s="57"/>
    </row>
    <row r="6" spans="1:7" s="66" customFormat="1" ht="15.75" customHeight="1" x14ac:dyDescent="0.2">
      <c r="A6" s="122"/>
      <c r="B6" s="122"/>
      <c r="C6" s="143" t="s">
        <v>54</v>
      </c>
      <c r="D6" s="143"/>
      <c r="E6" s="143" t="s">
        <v>55</v>
      </c>
      <c r="F6" s="143"/>
      <c r="G6" s="68"/>
    </row>
    <row r="7" spans="1:7" s="66" customFormat="1" ht="15.75" customHeight="1" x14ac:dyDescent="0.2">
      <c r="A7" s="122"/>
      <c r="B7" s="122"/>
      <c r="C7" s="77" t="s">
        <v>43</v>
      </c>
      <c r="D7" s="77" t="s">
        <v>44</v>
      </c>
      <c r="E7" s="77" t="s">
        <v>43</v>
      </c>
      <c r="F7" s="77" t="s">
        <v>44</v>
      </c>
      <c r="G7" s="68"/>
    </row>
    <row r="8" spans="1:7" s="66" customFormat="1" ht="12.75" customHeight="1" x14ac:dyDescent="0.2">
      <c r="A8" s="71" t="s">
        <v>41</v>
      </c>
      <c r="B8" s="70"/>
      <c r="C8" s="69"/>
      <c r="D8" s="69"/>
      <c r="E8" s="69"/>
      <c r="F8" s="69"/>
      <c r="G8" s="68"/>
    </row>
    <row r="9" spans="1:7" s="66" customFormat="1" ht="12.75" customHeight="1" x14ac:dyDescent="0.2">
      <c r="A9" s="62" t="s">
        <v>21</v>
      </c>
      <c r="B9" s="63" t="s">
        <v>42</v>
      </c>
      <c r="C9" s="64">
        <v>190</v>
      </c>
      <c r="D9" s="64">
        <v>190</v>
      </c>
      <c r="E9" s="64">
        <v>190</v>
      </c>
      <c r="F9" s="64">
        <v>190</v>
      </c>
      <c r="G9" s="68"/>
    </row>
    <row r="10" spans="1:7" s="66" customFormat="1" ht="12.75" customHeight="1" x14ac:dyDescent="0.2">
      <c r="A10" s="62" t="s">
        <v>22</v>
      </c>
      <c r="B10" s="63" t="s">
        <v>49</v>
      </c>
      <c r="C10" s="124">
        <f>Planilha!C8</f>
        <v>1729.64</v>
      </c>
      <c r="D10" s="65">
        <f>C10</f>
        <v>1729.64</v>
      </c>
      <c r="E10" s="124">
        <f>Planilha!C9</f>
        <v>2075.5700000000002</v>
      </c>
      <c r="F10" s="65">
        <f>E10</f>
        <v>2075.5700000000002</v>
      </c>
      <c r="G10" s="68"/>
    </row>
    <row r="11" spans="1:7" s="66" customFormat="1" ht="12.75" customHeight="1" x14ac:dyDescent="0.2">
      <c r="A11" s="62" t="s">
        <v>45</v>
      </c>
      <c r="B11" s="63" t="s">
        <v>50</v>
      </c>
      <c r="C11" s="124">
        <f>Planilha!F8</f>
        <v>518.89</v>
      </c>
      <c r="D11" s="65">
        <f>C11</f>
        <v>518.89</v>
      </c>
      <c r="E11" s="124">
        <f>Planilha!F9</f>
        <v>622.66999999999996</v>
      </c>
      <c r="F11" s="65">
        <f>E11</f>
        <v>622.66999999999996</v>
      </c>
      <c r="G11" s="68"/>
    </row>
    <row r="12" spans="1:7" s="66" customFormat="1" ht="12.75" customHeight="1" x14ac:dyDescent="0.2">
      <c r="A12" s="62" t="s">
        <v>46</v>
      </c>
      <c r="B12" s="63" t="s">
        <v>135</v>
      </c>
      <c r="C12" s="64"/>
      <c r="D12" s="64">
        <v>8</v>
      </c>
      <c r="E12" s="64"/>
      <c r="F12" s="64">
        <v>8</v>
      </c>
      <c r="G12" s="68"/>
    </row>
    <row r="13" spans="1:7" s="66" customFormat="1" ht="12.75" customHeight="1" x14ac:dyDescent="0.2">
      <c r="A13" s="62" t="s">
        <v>47</v>
      </c>
      <c r="B13" s="63" t="s">
        <v>51</v>
      </c>
      <c r="C13" s="64">
        <v>15</v>
      </c>
      <c r="D13" s="64">
        <v>15</v>
      </c>
      <c r="E13" s="64">
        <v>15</v>
      </c>
      <c r="F13" s="64">
        <v>15</v>
      </c>
      <c r="G13" s="68"/>
    </row>
    <row r="14" spans="1:7" s="66" customFormat="1" ht="6.75" customHeight="1" x14ac:dyDescent="0.2">
      <c r="A14" s="91"/>
      <c r="B14" s="92"/>
      <c r="C14" s="93"/>
      <c r="D14" s="93"/>
      <c r="E14" s="93"/>
      <c r="F14" s="93"/>
      <c r="G14" s="68"/>
    </row>
    <row r="15" spans="1:7" s="66" customFormat="1" ht="15" customHeight="1" x14ac:dyDescent="0.2">
      <c r="A15" s="70" t="s">
        <v>125</v>
      </c>
      <c r="B15" s="72"/>
      <c r="C15" s="72"/>
      <c r="D15" s="72"/>
      <c r="E15" s="72"/>
      <c r="F15" s="72"/>
      <c r="G15" s="68"/>
    </row>
    <row r="16" spans="1:7" s="66" customFormat="1" ht="12.75" customHeight="1" x14ac:dyDescent="0.2">
      <c r="A16" s="62" t="s">
        <v>48</v>
      </c>
      <c r="B16" s="63" t="s">
        <v>59</v>
      </c>
      <c r="C16" s="65"/>
      <c r="D16" s="65">
        <f>ROUND((D10+D11)/D9,2)</f>
        <v>11.83</v>
      </c>
      <c r="E16" s="65"/>
      <c r="F16" s="65">
        <f>ROUND((F10+F11)/F9,2)</f>
        <v>14.2</v>
      </c>
      <c r="G16" s="68"/>
    </row>
    <row r="17" spans="1:7" s="66" customFormat="1" ht="12.75" customHeight="1" x14ac:dyDescent="0.2">
      <c r="A17" s="62" t="s">
        <v>52</v>
      </c>
      <c r="B17" s="63" t="s">
        <v>60</v>
      </c>
      <c r="C17" s="65"/>
      <c r="D17" s="65">
        <f>ROUND(D16*20%,2)</f>
        <v>2.37</v>
      </c>
      <c r="E17" s="65"/>
      <c r="F17" s="65">
        <f>ROUND(F16*20%,2)</f>
        <v>2.84</v>
      </c>
      <c r="G17" s="68"/>
    </row>
    <row r="18" spans="1:7" s="66" customFormat="1" ht="12.75" customHeight="1" x14ac:dyDescent="0.2">
      <c r="A18" s="62" t="s">
        <v>53</v>
      </c>
      <c r="B18" s="63" t="s">
        <v>124</v>
      </c>
      <c r="C18" s="65"/>
      <c r="D18" s="65">
        <f>D17*D12*D13</f>
        <v>284.40000000000003</v>
      </c>
      <c r="E18" s="65"/>
      <c r="F18" s="65">
        <f>F17*F12*F13</f>
        <v>340.79999999999995</v>
      </c>
      <c r="G18" s="68"/>
    </row>
    <row r="19" spans="1:7" s="66" customFormat="1" ht="12.75" customHeight="1" x14ac:dyDescent="0.2">
      <c r="A19" s="62" t="s">
        <v>56</v>
      </c>
      <c r="B19" s="63" t="s">
        <v>123</v>
      </c>
      <c r="C19" s="65"/>
      <c r="D19" s="65">
        <f>D17*D13</f>
        <v>35.550000000000004</v>
      </c>
      <c r="E19" s="65"/>
      <c r="F19" s="65">
        <f>F17*F13</f>
        <v>42.599999999999994</v>
      </c>
      <c r="G19" s="68"/>
    </row>
    <row r="20" spans="1:7" s="66" customFormat="1" ht="12.75" customHeight="1" x14ac:dyDescent="0.2">
      <c r="A20" s="62" t="s">
        <v>57</v>
      </c>
      <c r="B20" s="89" t="s">
        <v>126</v>
      </c>
      <c r="C20" s="90"/>
      <c r="D20" s="90">
        <f>ROUND(D18+D19,2)</f>
        <v>319.95</v>
      </c>
      <c r="E20" s="90"/>
      <c r="F20" s="90">
        <f>ROUND(F18+F19,2)</f>
        <v>383.4</v>
      </c>
      <c r="G20" s="68"/>
    </row>
    <row r="21" spans="1:7" s="96" customFormat="1" ht="7.5" customHeight="1" x14ac:dyDescent="0.2">
      <c r="A21" s="122"/>
      <c r="B21" s="59"/>
      <c r="C21" s="94"/>
      <c r="D21" s="94"/>
      <c r="E21" s="94"/>
      <c r="F21" s="94"/>
      <c r="G21" s="95"/>
    </row>
    <row r="22" spans="1:7" ht="14.25" customHeight="1" x14ac:dyDescent="0.2">
      <c r="A22" s="70" t="s">
        <v>127</v>
      </c>
      <c r="B22" s="72"/>
      <c r="C22" s="72"/>
      <c r="D22" s="72"/>
      <c r="E22" s="72"/>
      <c r="F22" s="72"/>
      <c r="G22" s="57"/>
    </row>
    <row r="23" spans="1:7" ht="12.75" customHeight="1" x14ac:dyDescent="0.2">
      <c r="A23" s="62" t="s">
        <v>58</v>
      </c>
      <c r="B23" s="63" t="s">
        <v>133</v>
      </c>
      <c r="C23" s="65"/>
      <c r="D23" s="65">
        <f>ROUND((D16+D17)*1.5,2)</f>
        <v>21.3</v>
      </c>
      <c r="E23" s="65"/>
      <c r="F23" s="65">
        <f>ROUND((F16+F17)*1.5,2)</f>
        <v>25.56</v>
      </c>
      <c r="G23" s="57"/>
    </row>
    <row r="24" spans="1:7" s="66" customFormat="1" ht="12.75" customHeight="1" x14ac:dyDescent="0.2">
      <c r="A24" s="62" t="s">
        <v>121</v>
      </c>
      <c r="B24" s="89" t="s">
        <v>138</v>
      </c>
      <c r="C24" s="90"/>
      <c r="D24" s="90">
        <f>ROUND(D23*D13,2)</f>
        <v>319.5</v>
      </c>
      <c r="E24" s="90"/>
      <c r="F24" s="90">
        <f>ROUND(F23*F13,2)</f>
        <v>383.4</v>
      </c>
      <c r="G24" s="68"/>
    </row>
    <row r="25" spans="1:7" s="66" customFormat="1" ht="6.75" customHeight="1" x14ac:dyDescent="0.2">
      <c r="A25" s="91"/>
      <c r="B25" s="97"/>
      <c r="C25" s="98"/>
      <c r="D25" s="98"/>
      <c r="E25" s="98"/>
      <c r="F25" s="98"/>
      <c r="G25" s="68"/>
    </row>
    <row r="26" spans="1:7" s="66" customFormat="1" ht="12.75" customHeight="1" x14ac:dyDescent="0.2">
      <c r="A26" s="70" t="s">
        <v>141</v>
      </c>
      <c r="B26" s="72"/>
      <c r="C26" s="72"/>
      <c r="D26" s="72"/>
      <c r="E26" s="72"/>
      <c r="F26" s="72"/>
      <c r="G26" s="68"/>
    </row>
    <row r="27" spans="1:7" s="66" customFormat="1" ht="12.75" customHeight="1" x14ac:dyDescent="0.2">
      <c r="A27" s="62" t="s">
        <v>122</v>
      </c>
      <c r="B27" s="63" t="s">
        <v>140</v>
      </c>
      <c r="C27" s="65">
        <f>ROUND((C10+C11+C20+C24)/C13,2)</f>
        <v>149.9</v>
      </c>
      <c r="D27" s="65">
        <f>ROUND((D10+D11+D20+D24)/D13,2)</f>
        <v>192.53</v>
      </c>
      <c r="E27" s="65">
        <f>ROUND((E10+E11+E20+E24)/E13,2)</f>
        <v>179.88</v>
      </c>
      <c r="F27" s="65">
        <f>ROUND((F10+F11+F20+F24)/F13,2)</f>
        <v>231</v>
      </c>
      <c r="G27" s="68"/>
    </row>
    <row r="28" spans="1:7" s="101" customFormat="1" ht="12.75" customHeight="1" x14ac:dyDescent="0.2">
      <c r="A28" s="62" t="s">
        <v>128</v>
      </c>
      <c r="B28" s="63" t="s">
        <v>154</v>
      </c>
      <c r="C28" s="65">
        <f>ROUND((C27*$D$40)/12,2)</f>
        <v>162.38999999999999</v>
      </c>
      <c r="D28" s="65">
        <f>ROUND((D27*$D$40)/12,2)</f>
        <v>208.57</v>
      </c>
      <c r="E28" s="65">
        <f>ROUND((E27*$D$40)/12,2)</f>
        <v>194.87</v>
      </c>
      <c r="F28" s="65">
        <f>ROUND((F27*$D$40)/12,2)</f>
        <v>250.25</v>
      </c>
      <c r="G28" s="100"/>
    </row>
    <row r="29" spans="1:7" s="66" customFormat="1" ht="12.75" customHeight="1" x14ac:dyDescent="0.2">
      <c r="A29" s="62" t="s">
        <v>129</v>
      </c>
      <c r="B29" s="89" t="s">
        <v>144</v>
      </c>
      <c r="C29" s="90">
        <f>ROUND(C28/2,2)</f>
        <v>81.2</v>
      </c>
      <c r="D29" s="90">
        <f>ROUND(D28/2,2)</f>
        <v>104.29</v>
      </c>
      <c r="E29" s="90">
        <f>ROUND(E28/2,2)</f>
        <v>97.44</v>
      </c>
      <c r="F29" s="90">
        <f>ROUND(F28/2,2)</f>
        <v>125.13</v>
      </c>
      <c r="G29" s="68"/>
    </row>
    <row r="30" spans="1:7" s="66" customFormat="1" ht="7.5" customHeight="1" x14ac:dyDescent="0.2">
      <c r="A30" s="91"/>
      <c r="B30" s="97"/>
      <c r="C30" s="98"/>
      <c r="D30" s="98"/>
      <c r="E30" s="98"/>
      <c r="F30" s="98"/>
      <c r="G30" s="68"/>
    </row>
    <row r="31" spans="1:7" s="66" customFormat="1" ht="15" customHeight="1" x14ac:dyDescent="0.2">
      <c r="A31" s="70" t="s">
        <v>142</v>
      </c>
      <c r="B31" s="72"/>
      <c r="C31" s="72"/>
      <c r="D31" s="72"/>
      <c r="E31" s="72"/>
      <c r="F31" s="72"/>
      <c r="G31" s="68"/>
    </row>
    <row r="32" spans="1:7" ht="12.75" customHeight="1" x14ac:dyDescent="0.2">
      <c r="A32" s="62" t="s">
        <v>130</v>
      </c>
      <c r="B32" s="63" t="s">
        <v>134</v>
      </c>
      <c r="C32" s="88">
        <v>52</v>
      </c>
      <c r="D32" s="88">
        <v>52</v>
      </c>
      <c r="E32" s="88">
        <v>52</v>
      </c>
      <c r="F32" s="88">
        <v>52</v>
      </c>
      <c r="G32" s="57"/>
    </row>
    <row r="33" spans="1:7" ht="12.75" customHeight="1" x14ac:dyDescent="0.2">
      <c r="A33" s="62" t="s">
        <v>131</v>
      </c>
      <c r="B33" s="63" t="s">
        <v>149</v>
      </c>
      <c r="C33" s="88">
        <f>360-C32-D40</f>
        <v>295</v>
      </c>
      <c r="D33" s="88">
        <f>360-D32-D40</f>
        <v>295</v>
      </c>
      <c r="E33" s="88">
        <f>360-E32-D40</f>
        <v>295</v>
      </c>
      <c r="F33" s="88">
        <f>360-F32-D40</f>
        <v>295</v>
      </c>
      <c r="G33" s="57"/>
    </row>
    <row r="34" spans="1:7" ht="12.75" customHeight="1" x14ac:dyDescent="0.2">
      <c r="A34" s="62" t="s">
        <v>132</v>
      </c>
      <c r="B34" s="63" t="s">
        <v>150</v>
      </c>
      <c r="C34" s="65"/>
      <c r="D34" s="65">
        <f>ROUND(D20*(D32+$D$40)/D33,2)</f>
        <v>70.5</v>
      </c>
      <c r="E34" s="65"/>
      <c r="F34" s="65">
        <f>ROUND(F20*(F32+$D$40)/F33,2)</f>
        <v>84.48</v>
      </c>
      <c r="G34" s="57"/>
    </row>
    <row r="35" spans="1:7" ht="12.75" customHeight="1" x14ac:dyDescent="0.2">
      <c r="A35" s="62" t="s">
        <v>136</v>
      </c>
      <c r="B35" s="63" t="s">
        <v>151</v>
      </c>
      <c r="C35" s="65"/>
      <c r="D35" s="65">
        <f>ROUND(D24*(D32+$D$40)/D33,2)</f>
        <v>70.400000000000006</v>
      </c>
      <c r="E35" s="65"/>
      <c r="F35" s="65">
        <f>ROUND(F24*(F32+$D$40)/F33,2)</f>
        <v>84.48</v>
      </c>
      <c r="G35" s="57"/>
    </row>
    <row r="36" spans="1:7" ht="12.75" customHeight="1" x14ac:dyDescent="0.2">
      <c r="A36" s="62" t="s">
        <v>137</v>
      </c>
      <c r="B36" s="63" t="s">
        <v>153</v>
      </c>
      <c r="C36" s="65">
        <f>ROUND(C29*(C32+$D$40)/C33,2)</f>
        <v>17.89</v>
      </c>
      <c r="D36" s="65">
        <f>ROUND(D29*(D32+$D$40)/D33,2)</f>
        <v>22.98</v>
      </c>
      <c r="E36" s="65">
        <f>ROUND(E29*(E32+$D$40)/E33,2)</f>
        <v>21.47</v>
      </c>
      <c r="F36" s="65">
        <f>ROUND(F29*(F32+$D$40)/F33,2)</f>
        <v>27.57</v>
      </c>
      <c r="G36" s="57"/>
    </row>
    <row r="37" spans="1:7" ht="12.75" customHeight="1" x14ac:dyDescent="0.2">
      <c r="A37" s="62" t="s">
        <v>139</v>
      </c>
      <c r="B37" s="89" t="s">
        <v>152</v>
      </c>
      <c r="C37" s="90">
        <f>ROUND(C34+C35+C36,2)</f>
        <v>17.89</v>
      </c>
      <c r="D37" s="90">
        <f>ROUND(D34+D35+D36,2)</f>
        <v>163.88</v>
      </c>
      <c r="E37" s="90">
        <f>ROUND(E34+E35+E36,2)</f>
        <v>21.47</v>
      </c>
      <c r="F37" s="90">
        <f>ROUND(F34+F35+F36,2)</f>
        <v>196.53</v>
      </c>
      <c r="G37" s="57"/>
    </row>
    <row r="38" spans="1:7" ht="12.75" customHeight="1" x14ac:dyDescent="0.2">
      <c r="A38" s="122"/>
      <c r="B38" s="122"/>
      <c r="C38" s="122"/>
      <c r="D38" s="122"/>
      <c r="E38" s="122"/>
      <c r="F38" s="122"/>
      <c r="G38" s="57"/>
    </row>
    <row r="39" spans="1:7" ht="12.75" customHeight="1" x14ac:dyDescent="0.2">
      <c r="A39" s="122"/>
      <c r="B39" s="67"/>
      <c r="C39" s="67"/>
      <c r="D39" s="62" t="s">
        <v>146</v>
      </c>
      <c r="E39" s="122"/>
      <c r="F39" s="122"/>
      <c r="G39" s="57"/>
    </row>
    <row r="40" spans="1:7" s="66" customFormat="1" ht="12.75" customHeight="1" x14ac:dyDescent="0.2">
      <c r="A40" s="75" t="s">
        <v>92</v>
      </c>
      <c r="B40" s="75"/>
      <c r="C40" s="76" t="s">
        <v>165</v>
      </c>
      <c r="D40" s="87">
        <v>13</v>
      </c>
      <c r="E40" s="122"/>
      <c r="F40" s="122"/>
      <c r="G40" s="68"/>
    </row>
    <row r="41" spans="1:7" ht="15" customHeight="1" x14ac:dyDescent="0.2">
      <c r="A41" s="109" t="s">
        <v>93</v>
      </c>
      <c r="B41" s="72"/>
      <c r="C41" s="59"/>
      <c r="D41" s="122"/>
      <c r="E41" s="122"/>
      <c r="F41" s="122"/>
      <c r="G41" s="57"/>
    </row>
    <row r="42" spans="1:7" ht="12.75" customHeight="1" x14ac:dyDescent="0.2">
      <c r="A42" s="123" t="s">
        <v>94</v>
      </c>
      <c r="B42" s="73" t="s">
        <v>95</v>
      </c>
      <c r="C42" s="151" t="s">
        <v>96</v>
      </c>
      <c r="D42" s="151"/>
      <c r="E42" s="122"/>
      <c r="F42" s="122"/>
      <c r="G42" s="57"/>
    </row>
    <row r="43" spans="1:7" s="66" customFormat="1" ht="12.75" customHeight="1" x14ac:dyDescent="0.2">
      <c r="A43" s="121" t="s">
        <v>61</v>
      </c>
      <c r="B43" s="121" t="s">
        <v>62</v>
      </c>
      <c r="C43" s="152" t="s">
        <v>63</v>
      </c>
      <c r="D43" s="152"/>
      <c r="E43" s="122"/>
      <c r="F43" s="122"/>
      <c r="G43" s="68"/>
    </row>
    <row r="44" spans="1:7" ht="12.75" customHeight="1" x14ac:dyDescent="0.2">
      <c r="A44" s="73" t="s">
        <v>162</v>
      </c>
      <c r="B44" s="121" t="s">
        <v>64</v>
      </c>
      <c r="C44" s="152" t="s">
        <v>65</v>
      </c>
      <c r="D44" s="152"/>
      <c r="E44" s="122"/>
      <c r="F44" s="122"/>
      <c r="G44" s="57"/>
    </row>
    <row r="45" spans="1:7" ht="12.75" customHeight="1" x14ac:dyDescent="0.2">
      <c r="A45" s="121" t="s">
        <v>66</v>
      </c>
      <c r="B45" s="121" t="s">
        <v>67</v>
      </c>
      <c r="C45" s="152" t="s">
        <v>63</v>
      </c>
      <c r="D45" s="152"/>
      <c r="E45" s="122"/>
      <c r="F45" s="122"/>
      <c r="G45" s="57"/>
    </row>
    <row r="46" spans="1:7" ht="12.75" customHeight="1" x14ac:dyDescent="0.2">
      <c r="A46" s="121" t="s">
        <v>68</v>
      </c>
      <c r="B46" s="121" t="s">
        <v>69</v>
      </c>
      <c r="C46" s="152" t="s">
        <v>63</v>
      </c>
      <c r="D46" s="152"/>
      <c r="E46" s="122"/>
      <c r="F46" s="122"/>
      <c r="G46" s="57"/>
    </row>
    <row r="47" spans="1:7" ht="12.75" customHeight="1" x14ac:dyDescent="0.2">
      <c r="A47" s="121" t="s">
        <v>70</v>
      </c>
      <c r="B47" s="121" t="s">
        <v>71</v>
      </c>
      <c r="C47" s="152" t="s">
        <v>63</v>
      </c>
      <c r="D47" s="152"/>
      <c r="E47" s="122"/>
      <c r="F47" s="122"/>
      <c r="G47" s="57"/>
    </row>
    <row r="48" spans="1:7" ht="12.75" customHeight="1" x14ac:dyDescent="0.2">
      <c r="A48" s="121" t="s">
        <v>72</v>
      </c>
      <c r="B48" s="121" t="s">
        <v>73</v>
      </c>
      <c r="C48" s="152" t="s">
        <v>74</v>
      </c>
      <c r="D48" s="152"/>
      <c r="E48" s="122"/>
      <c r="F48" s="122"/>
      <c r="G48" s="57"/>
    </row>
    <row r="49" spans="1:7" ht="12.75" customHeight="1" x14ac:dyDescent="0.2">
      <c r="A49" s="121" t="s">
        <v>75</v>
      </c>
      <c r="B49" s="121" t="s">
        <v>76</v>
      </c>
      <c r="C49" s="152" t="s">
        <v>77</v>
      </c>
      <c r="D49" s="152"/>
      <c r="E49" s="122"/>
      <c r="F49" s="122"/>
      <c r="G49" s="57"/>
    </row>
    <row r="50" spans="1:7" ht="12.75" customHeight="1" x14ac:dyDescent="0.2">
      <c r="A50" s="73" t="s">
        <v>78</v>
      </c>
      <c r="B50" s="73" t="s">
        <v>79</v>
      </c>
      <c r="C50" s="152" t="s">
        <v>77</v>
      </c>
      <c r="D50" s="152"/>
      <c r="E50" s="122"/>
      <c r="F50" s="122"/>
      <c r="G50" s="57"/>
    </row>
    <row r="51" spans="1:7" ht="12.75" customHeight="1" x14ac:dyDescent="0.2">
      <c r="A51" s="121" t="s">
        <v>80</v>
      </c>
      <c r="B51" s="121" t="s">
        <v>81</v>
      </c>
      <c r="C51" s="152" t="s">
        <v>63</v>
      </c>
      <c r="D51" s="152"/>
      <c r="E51" s="122"/>
      <c r="F51" s="122"/>
      <c r="G51" s="57"/>
    </row>
    <row r="52" spans="1:7" ht="12.75" customHeight="1" x14ac:dyDescent="0.2">
      <c r="A52" s="74" t="s">
        <v>160</v>
      </c>
      <c r="B52" s="59"/>
      <c r="C52" s="59"/>
      <c r="D52" s="122"/>
      <c r="E52" s="122"/>
      <c r="F52" s="122"/>
      <c r="G52" s="57"/>
    </row>
    <row r="53" spans="1:7" ht="14.25" customHeight="1" x14ac:dyDescent="0.2">
      <c r="A53" s="153" t="s">
        <v>99</v>
      </c>
      <c r="B53" s="154"/>
      <c r="C53" s="154"/>
      <c r="D53" s="155"/>
      <c r="E53" s="122"/>
      <c r="F53" s="122"/>
      <c r="G53" s="57"/>
    </row>
    <row r="54" spans="1:7" ht="12" customHeight="1" x14ac:dyDescent="0.2">
      <c r="A54" s="110" t="s">
        <v>82</v>
      </c>
      <c r="B54" s="121" t="s">
        <v>83</v>
      </c>
      <c r="C54" s="149" t="s">
        <v>98</v>
      </c>
      <c r="D54" s="150"/>
      <c r="E54" s="122"/>
      <c r="F54" s="122"/>
      <c r="G54" s="57"/>
    </row>
    <row r="55" spans="1:7" ht="12.75" customHeight="1" x14ac:dyDescent="0.2">
      <c r="A55" s="74" t="s">
        <v>97</v>
      </c>
      <c r="B55" s="59"/>
      <c r="C55" s="59"/>
      <c r="D55" s="122"/>
      <c r="E55" s="122"/>
      <c r="F55" s="122"/>
      <c r="G55" s="57"/>
    </row>
    <row r="56" spans="1:7" ht="15" customHeight="1" x14ac:dyDescent="0.2">
      <c r="A56" s="153" t="s">
        <v>100</v>
      </c>
      <c r="B56" s="154"/>
      <c r="C56" s="154"/>
      <c r="D56" s="155"/>
      <c r="E56" s="122"/>
      <c r="F56" s="122"/>
      <c r="G56" s="57"/>
    </row>
    <row r="57" spans="1:7" x14ac:dyDescent="0.2">
      <c r="A57" s="110" t="s">
        <v>84</v>
      </c>
      <c r="B57" s="121" t="s">
        <v>86</v>
      </c>
      <c r="C57" s="152" t="s">
        <v>85</v>
      </c>
      <c r="D57" s="152"/>
      <c r="E57" s="122"/>
      <c r="F57" s="122"/>
      <c r="G57" s="57"/>
    </row>
    <row r="58" spans="1:7" x14ac:dyDescent="0.2">
      <c r="A58" s="110" t="s">
        <v>88</v>
      </c>
      <c r="B58" s="121" t="s">
        <v>89</v>
      </c>
      <c r="C58" s="152" t="s">
        <v>87</v>
      </c>
      <c r="D58" s="152"/>
      <c r="E58" s="122"/>
      <c r="F58" s="122"/>
      <c r="G58" s="57"/>
    </row>
    <row r="59" spans="1:7" ht="12.75" customHeight="1" x14ac:dyDescent="0.2">
      <c r="A59" s="123" t="s">
        <v>90</v>
      </c>
      <c r="B59" s="73" t="s">
        <v>91</v>
      </c>
      <c r="C59" s="152" t="s">
        <v>87</v>
      </c>
      <c r="D59" s="152"/>
      <c r="E59" s="122"/>
      <c r="F59" s="122"/>
      <c r="G59" s="57"/>
    </row>
    <row r="60" spans="1:7" ht="8.25" customHeight="1" x14ac:dyDescent="0.2">
      <c r="A60" s="122"/>
      <c r="B60" s="122"/>
      <c r="C60" s="122"/>
      <c r="D60" s="122"/>
      <c r="E60" s="122"/>
      <c r="F60" s="122"/>
      <c r="G60" s="57"/>
    </row>
    <row r="61" spans="1:7" x14ac:dyDescent="0.2">
      <c r="A61" s="99" t="s">
        <v>143</v>
      </c>
      <c r="B61" s="122"/>
      <c r="C61" s="122"/>
      <c r="D61" s="122"/>
      <c r="E61" s="122"/>
      <c r="F61" s="122"/>
      <c r="G61" s="57"/>
    </row>
    <row r="62" spans="1:7" x14ac:dyDescent="0.2">
      <c r="A62" s="99" t="s">
        <v>145</v>
      </c>
      <c r="B62" s="122"/>
      <c r="C62" s="122"/>
      <c r="D62" s="122"/>
      <c r="E62" s="122"/>
      <c r="F62" s="122"/>
      <c r="G62" s="57"/>
    </row>
    <row r="63" spans="1:7" x14ac:dyDescent="0.2">
      <c r="A63" s="156"/>
      <c r="B63" s="156"/>
      <c r="C63" s="156"/>
      <c r="D63" s="156"/>
      <c r="E63" s="122"/>
      <c r="F63" s="122"/>
      <c r="G63" s="57"/>
    </row>
    <row r="64" spans="1:7" x14ac:dyDescent="0.2">
      <c r="A64" s="122"/>
      <c r="B64" s="122"/>
      <c r="C64" s="122"/>
      <c r="D64" s="122"/>
      <c r="E64" s="122"/>
      <c r="F64" s="122"/>
      <c r="G64" s="57"/>
    </row>
  </sheetData>
  <mergeCells count="24">
    <mergeCell ref="A56:D56"/>
    <mergeCell ref="C57:D57"/>
    <mergeCell ref="C58:D58"/>
    <mergeCell ref="C59:D59"/>
    <mergeCell ref="A63:D63"/>
    <mergeCell ref="C54:D54"/>
    <mergeCell ref="C42:D42"/>
    <mergeCell ref="C43:D43"/>
    <mergeCell ref="C44:D44"/>
    <mergeCell ref="C45:D45"/>
    <mergeCell ref="C46:D46"/>
    <mergeCell ref="C47:D47"/>
    <mergeCell ref="C48:D48"/>
    <mergeCell ref="C49:D49"/>
    <mergeCell ref="C50:D50"/>
    <mergeCell ref="C51:D51"/>
    <mergeCell ref="A53:D53"/>
    <mergeCell ref="C6:D6"/>
    <mergeCell ref="E6:F6"/>
    <mergeCell ref="A1:F1"/>
    <mergeCell ref="A2:F2"/>
    <mergeCell ref="A3:F3"/>
    <mergeCell ref="A4:F4"/>
    <mergeCell ref="A5:F5"/>
  </mergeCells>
  <printOptions horizontalCentered="1"/>
  <pageMargins left="1.1023622047244095" right="0.39370078740157483" top="0.78740157480314965" bottom="0.62992125984251968" header="0.31496062992125984" footer="0.31496062992125984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2</vt:i4>
      </vt:variant>
    </vt:vector>
  </HeadingPairs>
  <TitlesOfParts>
    <vt:vector size="4" baseType="lpstr">
      <vt:lpstr>Planilha</vt:lpstr>
      <vt:lpstr>Memória Cálculo</vt:lpstr>
      <vt:lpstr>'Memória Cálculo'!Area_de_impressao</vt:lpstr>
      <vt:lpstr>Planilha!Area_de_impressao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adfor.marcelo</dc:creator>
  <cp:lastModifiedBy>Roberto Rates Quaranta</cp:lastModifiedBy>
  <cp:lastPrinted>2017-08-02T14:32:17Z</cp:lastPrinted>
  <dcterms:created xsi:type="dcterms:W3CDTF">2013-01-31T19:51:41Z</dcterms:created>
  <dcterms:modified xsi:type="dcterms:W3CDTF">2017-11-08T14:45:49Z</dcterms:modified>
</cp:coreProperties>
</file>